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64715225-E47B-4DF7-8077-B8B5D5538EBD}" xr6:coauthVersionLast="36" xr6:coauthVersionMax="36" xr10:uidLastSave="{00000000-0000-0000-0000-000000000000}"/>
  <bookViews>
    <workbookView xWindow="0" yWindow="0" windowWidth="20520" windowHeight="10950" xr2:uid="{00000000-000D-0000-FFFF-FFFF00000000}"/>
  </bookViews>
  <sheets>
    <sheet name=" Sažetak" sheetId="2" r:id="rId1"/>
    <sheet name=" Račun prihoda i rashoda" sheetId="4" r:id="rId2"/>
    <sheet name="Posebni dio" sheetId="6" r:id="rId3"/>
    <sheet name=" Račun financiranja" sheetId="5" r:id="rId4"/>
  </sheets>
  <definedNames>
    <definedName name="_xlnm.Print_Area" localSheetId="3">' Račun financiranja'!$A$1:$G$32</definedName>
    <definedName name="_xlnm.Print_Area" localSheetId="1">' Račun prihoda i rashoda'!$A$1:$I$171</definedName>
    <definedName name="_xlnm.Print_Area" localSheetId="0">' Sažetak'!$A$1:$L$42</definedName>
    <definedName name="_xlnm.Print_Area" localSheetId="2">'Posebni dio'!$A$1:$H$138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1" i="4" l="1"/>
  <c r="F171" i="4"/>
  <c r="F170" i="4" s="1"/>
  <c r="E55" i="6"/>
  <c r="E92" i="4"/>
  <c r="D92" i="4"/>
  <c r="C92" i="4"/>
  <c r="H40" i="4"/>
  <c r="H39" i="4" s="1"/>
  <c r="H38" i="4" s="1"/>
  <c r="H162" i="4"/>
  <c r="H161" i="4"/>
  <c r="H160" i="4"/>
  <c r="H159" i="4"/>
  <c r="H156" i="4"/>
  <c r="H155" i="4"/>
  <c r="H154" i="4"/>
  <c r="H153" i="4"/>
  <c r="H151" i="4"/>
  <c r="H150" i="4"/>
  <c r="H148" i="4"/>
  <c r="H147" i="4"/>
  <c r="H146" i="4" s="1"/>
  <c r="H145" i="4"/>
  <c r="H144" i="4"/>
  <c r="G161" i="4"/>
  <c r="F161" i="4"/>
  <c r="E161" i="4"/>
  <c r="D161" i="4"/>
  <c r="C161" i="4"/>
  <c r="F160" i="4"/>
  <c r="F159" i="4"/>
  <c r="F157" i="4"/>
  <c r="F156" i="4"/>
  <c r="G157" i="4" s="1"/>
  <c r="H157" i="4" s="1"/>
  <c r="F155" i="4"/>
  <c r="F154" i="4"/>
  <c r="F153" i="4"/>
  <c r="F151" i="4"/>
  <c r="F150" i="4"/>
  <c r="F148" i="4"/>
  <c r="F147" i="4"/>
  <c r="F145" i="4"/>
  <c r="F144" i="4"/>
  <c r="H29" i="4"/>
  <c r="H14" i="4"/>
  <c r="H12" i="4"/>
  <c r="F39" i="4"/>
  <c r="E39" i="4"/>
  <c r="D39" i="4"/>
  <c r="C39" i="4"/>
  <c r="F38" i="4"/>
  <c r="E38" i="4"/>
  <c r="D38" i="4"/>
  <c r="C38" i="4"/>
  <c r="G39" i="4"/>
  <c r="G38" i="4" s="1"/>
  <c r="H137" i="4"/>
  <c r="H136" i="4" s="1"/>
  <c r="H135" i="4"/>
  <c r="H134" i="4"/>
  <c r="H132" i="4"/>
  <c r="H131" i="4"/>
  <c r="H130" i="4"/>
  <c r="H129" i="4"/>
  <c r="H128" i="4"/>
  <c r="H126" i="4"/>
  <c r="H125" i="4"/>
  <c r="H123" i="4"/>
  <c r="H122" i="4"/>
  <c r="H120" i="4"/>
  <c r="H119" i="4"/>
  <c r="D136" i="4"/>
  <c r="E136" i="4"/>
  <c r="F136" i="4"/>
  <c r="G136" i="4"/>
  <c r="C136" i="4"/>
  <c r="H143" i="4" l="1"/>
  <c r="E34" i="4" l="1"/>
  <c r="F26" i="4"/>
  <c r="F12" i="4"/>
  <c r="E84" i="6"/>
  <c r="E83" i="6"/>
  <c r="E82" i="6"/>
  <c r="E81" i="6" l="1"/>
  <c r="E80" i="6" s="1"/>
  <c r="I170" i="4"/>
  <c r="I169" i="4" s="1"/>
  <c r="K12" i="2"/>
  <c r="I12" i="2"/>
  <c r="G24" i="2"/>
  <c r="G13" i="2"/>
  <c r="G10" i="2"/>
  <c r="I109" i="4"/>
  <c r="I108" i="4"/>
  <c r="I104" i="4"/>
  <c r="I87" i="4"/>
  <c r="I84" i="4"/>
  <c r="I83" i="4"/>
  <c r="I82" i="4"/>
  <c r="I81" i="4"/>
  <c r="I80" i="4"/>
  <c r="I79" i="4"/>
  <c r="I77" i="4"/>
  <c r="I75" i="4"/>
  <c r="I74" i="4"/>
  <c r="I73" i="4"/>
  <c r="I72" i="4"/>
  <c r="I71" i="4"/>
  <c r="I70" i="4"/>
  <c r="I69" i="4"/>
  <c r="I68" i="4"/>
  <c r="I67" i="4"/>
  <c r="I65" i="4"/>
  <c r="I64" i="4"/>
  <c r="I63" i="4"/>
  <c r="I62" i="4"/>
  <c r="I61" i="4"/>
  <c r="I58" i="4"/>
  <c r="I57" i="4"/>
  <c r="I56" i="4"/>
  <c r="I53" i="4"/>
  <c r="I51" i="4"/>
  <c r="I49" i="4"/>
  <c r="I37" i="4"/>
  <c r="I36" i="4"/>
  <c r="I35" i="4"/>
  <c r="I32" i="4"/>
  <c r="I29" i="4"/>
  <c r="I26" i="4"/>
  <c r="I14" i="4"/>
  <c r="I12" i="4"/>
  <c r="I160" i="4"/>
  <c r="I155" i="4"/>
  <c r="I154" i="4"/>
  <c r="I151" i="4"/>
  <c r="I148" i="4"/>
  <c r="I145" i="4"/>
  <c r="I144" i="4"/>
  <c r="I135" i="4"/>
  <c r="I130" i="4"/>
  <c r="I129" i="4"/>
  <c r="I126" i="4"/>
  <c r="I123" i="4"/>
  <c r="I120" i="4"/>
  <c r="I119" i="4"/>
  <c r="D143" i="4"/>
  <c r="D146" i="4"/>
  <c r="D149" i="4"/>
  <c r="D158" i="4"/>
  <c r="D152" i="4"/>
  <c r="F135" i="4"/>
  <c r="F134" i="4"/>
  <c r="F132" i="4"/>
  <c r="F131" i="4"/>
  <c r="F130" i="4"/>
  <c r="F129" i="4"/>
  <c r="F128" i="4"/>
  <c r="F126" i="4"/>
  <c r="F125" i="4"/>
  <c r="F123" i="4"/>
  <c r="F122" i="4"/>
  <c r="F120" i="4"/>
  <c r="F119" i="4"/>
  <c r="D118" i="4"/>
  <c r="D121" i="4"/>
  <c r="D124" i="4"/>
  <c r="D133" i="4"/>
  <c r="D127" i="4"/>
  <c r="H110" i="4"/>
  <c r="H109" i="4"/>
  <c r="H108" i="4"/>
  <c r="H107" i="4"/>
  <c r="H104" i="4"/>
  <c r="H101" i="4"/>
  <c r="H97" i="4"/>
  <c r="H94" i="4"/>
  <c r="H93" i="4"/>
  <c r="H92" i="4" s="1"/>
  <c r="H91" i="4"/>
  <c r="H88" i="4"/>
  <c r="H87" i="4"/>
  <c r="H84" i="4"/>
  <c r="H83" i="4"/>
  <c r="H82" i="4"/>
  <c r="H81" i="4"/>
  <c r="H80" i="4"/>
  <c r="H79" i="4"/>
  <c r="H77" i="4"/>
  <c r="H75" i="4"/>
  <c r="H74" i="4"/>
  <c r="H73" i="4"/>
  <c r="H72" i="4"/>
  <c r="H71" i="4"/>
  <c r="H70" i="4"/>
  <c r="H69" i="4"/>
  <c r="H68" i="4"/>
  <c r="H67" i="4"/>
  <c r="H65" i="4"/>
  <c r="H64" i="4"/>
  <c r="H63" i="4"/>
  <c r="H62" i="4"/>
  <c r="H61" i="4"/>
  <c r="H59" i="4"/>
  <c r="H58" i="4"/>
  <c r="H57" i="4"/>
  <c r="H56" i="4"/>
  <c r="H53" i="4"/>
  <c r="H51" i="4"/>
  <c r="H49" i="4"/>
  <c r="H37" i="4"/>
  <c r="H36" i="4"/>
  <c r="H35" i="4"/>
  <c r="H32" i="4"/>
  <c r="H31" i="4" s="1"/>
  <c r="H30" i="4"/>
  <c r="H28" i="4" s="1"/>
  <c r="H26" i="4"/>
  <c r="H23" i="4"/>
  <c r="H21" i="4"/>
  <c r="H18" i="4"/>
  <c r="H17" i="4"/>
  <c r="H15" i="4"/>
  <c r="H13" i="4" s="1"/>
  <c r="F37" i="4"/>
  <c r="F36" i="4"/>
  <c r="F32" i="4"/>
  <c r="F30" i="4"/>
  <c r="F29" i="4"/>
  <c r="F23" i="4"/>
  <c r="F21" i="4"/>
  <c r="F18" i="4"/>
  <c r="F17" i="4"/>
  <c r="F15" i="4"/>
  <c r="F14" i="4"/>
  <c r="F110" i="4"/>
  <c r="F109" i="4"/>
  <c r="F108" i="4"/>
  <c r="F107" i="4"/>
  <c r="F106" i="4"/>
  <c r="F104" i="4"/>
  <c r="F101" i="4"/>
  <c r="F97" i="4"/>
  <c r="F94" i="4"/>
  <c r="F93" i="4"/>
  <c r="F92" i="4" s="1"/>
  <c r="F91" i="4"/>
  <c r="F88" i="4"/>
  <c r="F87" i="4"/>
  <c r="F83" i="4"/>
  <c r="F82" i="4"/>
  <c r="F80" i="4"/>
  <c r="F79" i="4"/>
  <c r="F68" i="4"/>
  <c r="F67" i="4"/>
  <c r="F65" i="4"/>
  <c r="F64" i="4"/>
  <c r="F63" i="4"/>
  <c r="F61" i="4"/>
  <c r="F59" i="4"/>
  <c r="F58" i="4"/>
  <c r="F51" i="4"/>
  <c r="G92" i="4"/>
  <c r="I106" i="4"/>
  <c r="D170" i="4"/>
  <c r="D169" i="4" s="1"/>
  <c r="D105" i="4"/>
  <c r="D103" i="4"/>
  <c r="D100" i="4"/>
  <c r="D99" i="4" s="1"/>
  <c r="D96" i="4"/>
  <c r="D95" i="4" s="1"/>
  <c r="D90" i="4"/>
  <c r="D89" i="4" s="1"/>
  <c r="D86" i="4"/>
  <c r="D85" i="4" s="1"/>
  <c r="D50" i="4"/>
  <c r="D84" i="4"/>
  <c r="F84" i="4" s="1"/>
  <c r="D81" i="4"/>
  <c r="D77" i="4"/>
  <c r="D76" i="4" s="1"/>
  <c r="D75" i="4"/>
  <c r="F75" i="4" s="1"/>
  <c r="D74" i="4"/>
  <c r="F74" i="4" s="1"/>
  <c r="D73" i="4"/>
  <c r="F73" i="4" s="1"/>
  <c r="D72" i="4"/>
  <c r="F72" i="4" s="1"/>
  <c r="D71" i="4"/>
  <c r="D70" i="4"/>
  <c r="F70" i="4" s="1"/>
  <c r="D69" i="4"/>
  <c r="F69" i="4" s="1"/>
  <c r="D62" i="4"/>
  <c r="F62" i="4" s="1"/>
  <c r="D61" i="4"/>
  <c r="D57" i="4"/>
  <c r="F57" i="4" s="1"/>
  <c r="D56" i="4"/>
  <c r="F56" i="4" s="1"/>
  <c r="D53" i="4"/>
  <c r="D52" i="4" s="1"/>
  <c r="D49" i="4"/>
  <c r="D48" i="4" s="1"/>
  <c r="D35" i="4"/>
  <c r="F35" i="4" s="1"/>
  <c r="D31" i="4"/>
  <c r="D28" i="4"/>
  <c r="D25" i="4"/>
  <c r="D24" i="4" s="1"/>
  <c r="D22" i="4"/>
  <c r="D20" i="4"/>
  <c r="D16" i="4"/>
  <c r="D13" i="4"/>
  <c r="D11" i="4"/>
  <c r="H105" i="6"/>
  <c r="H93" i="6"/>
  <c r="H61" i="6"/>
  <c r="H69" i="6"/>
  <c r="H60" i="6"/>
  <c r="H49" i="6"/>
  <c r="H43" i="6"/>
  <c r="H39" i="6"/>
  <c r="H24" i="6"/>
  <c r="H16" i="6"/>
  <c r="H12" i="6"/>
  <c r="G138" i="6"/>
  <c r="G133" i="6"/>
  <c r="G129" i="6"/>
  <c r="G126" i="6"/>
  <c r="G124" i="6"/>
  <c r="G123" i="6"/>
  <c r="G108" i="6"/>
  <c r="G105" i="6"/>
  <c r="G101" i="6"/>
  <c r="G100" i="6"/>
  <c r="G97" i="6"/>
  <c r="G94" i="6"/>
  <c r="G93" i="6"/>
  <c r="G88" i="6"/>
  <c r="G87" i="6"/>
  <c r="G84" i="6"/>
  <c r="G83" i="6"/>
  <c r="G82" i="6"/>
  <c r="G69" i="6"/>
  <c r="G66" i="6"/>
  <c r="G63" i="6"/>
  <c r="G62" i="6" s="1"/>
  <c r="G61" i="6"/>
  <c r="G60" i="6"/>
  <c r="G55" i="6"/>
  <c r="G51" i="6"/>
  <c r="G49" i="6"/>
  <c r="G43" i="6"/>
  <c r="G39" i="6"/>
  <c r="G35" i="6"/>
  <c r="G34" i="6"/>
  <c r="G32" i="6"/>
  <c r="G31" i="6"/>
  <c r="G27" i="6"/>
  <c r="G26" i="6" s="1"/>
  <c r="G25" i="6" s="1"/>
  <c r="G24" i="6"/>
  <c r="G21" i="6"/>
  <c r="G19" i="6"/>
  <c r="G16" i="6"/>
  <c r="G12" i="6"/>
  <c r="G11" i="6" s="1"/>
  <c r="F26" i="6"/>
  <c r="F25" i="6" s="1"/>
  <c r="D26" i="6"/>
  <c r="D25" i="6" s="1"/>
  <c r="C26" i="6"/>
  <c r="C25" i="6" s="1"/>
  <c r="E27" i="6"/>
  <c r="E26" i="6" s="1"/>
  <c r="E25" i="6" s="1"/>
  <c r="E129" i="6"/>
  <c r="E128" i="6" s="1"/>
  <c r="E127" i="6" s="1"/>
  <c r="F128" i="6"/>
  <c r="F127" i="6" s="1"/>
  <c r="D128" i="6"/>
  <c r="D127" i="6" s="1"/>
  <c r="C128" i="6"/>
  <c r="C127" i="6" s="1"/>
  <c r="F112" i="6"/>
  <c r="F111" i="6"/>
  <c r="E96" i="6"/>
  <c r="E95" i="6" s="1"/>
  <c r="D96" i="6"/>
  <c r="D95" i="6" s="1"/>
  <c r="C96" i="6"/>
  <c r="C95" i="6" s="1"/>
  <c r="F96" i="6"/>
  <c r="F95" i="6" s="1"/>
  <c r="E94" i="6"/>
  <c r="D91" i="6"/>
  <c r="C91" i="6"/>
  <c r="F92" i="6"/>
  <c r="F91" i="6" s="1"/>
  <c r="F81" i="6"/>
  <c r="D81" i="6"/>
  <c r="C81" i="6"/>
  <c r="F79" i="6"/>
  <c r="F78" i="6"/>
  <c r="F75" i="6"/>
  <c r="F74" i="6"/>
  <c r="F62" i="6"/>
  <c r="E66" i="6"/>
  <c r="E62" i="6"/>
  <c r="D62" i="6"/>
  <c r="C62" i="6"/>
  <c r="F45" i="6"/>
  <c r="G45" i="6" s="1"/>
  <c r="F11" i="6"/>
  <c r="F50" i="6"/>
  <c r="G50" i="6" s="1"/>
  <c r="E138" i="6"/>
  <c r="E133" i="6"/>
  <c r="E126" i="6"/>
  <c r="E123" i="6"/>
  <c r="E124" i="6"/>
  <c r="E108" i="6"/>
  <c r="E105" i="6"/>
  <c r="E92" i="6"/>
  <c r="E93" i="6"/>
  <c r="E100" i="6"/>
  <c r="E101" i="6"/>
  <c r="E88" i="6"/>
  <c r="E87" i="6"/>
  <c r="E69" i="6"/>
  <c r="E61" i="6"/>
  <c r="E60" i="6"/>
  <c r="E51" i="6"/>
  <c r="E50" i="6"/>
  <c r="E49" i="6"/>
  <c r="E45" i="6"/>
  <c r="E43" i="6"/>
  <c r="E39" i="6"/>
  <c r="E35" i="6"/>
  <c r="E34" i="6"/>
  <c r="E32" i="6"/>
  <c r="E31" i="6"/>
  <c r="E24" i="6"/>
  <c r="E21" i="6"/>
  <c r="E19" i="6"/>
  <c r="E16" i="6"/>
  <c r="E12" i="6"/>
  <c r="E11" i="6" s="1"/>
  <c r="D19" i="4" l="1"/>
  <c r="D117" i="4"/>
  <c r="E86" i="6"/>
  <c r="E85" i="6" s="1"/>
  <c r="H91" i="6"/>
  <c r="H92" i="6"/>
  <c r="G81" i="6"/>
  <c r="H45" i="6"/>
  <c r="H50" i="6"/>
  <c r="H34" i="4"/>
  <c r="H16" i="4"/>
  <c r="F34" i="4"/>
  <c r="F77" i="4"/>
  <c r="D34" i="4"/>
  <c r="D33" i="4" s="1"/>
  <c r="D55" i="4"/>
  <c r="D78" i="4"/>
  <c r="F53" i="4"/>
  <c r="D142" i="4"/>
  <c r="D60" i="4"/>
  <c r="D66" i="4"/>
  <c r="D54" i="4" s="1"/>
  <c r="F49" i="4"/>
  <c r="F71" i="4"/>
  <c r="F81" i="4"/>
  <c r="G16" i="2"/>
  <c r="G25" i="2" s="1"/>
  <c r="G105" i="4"/>
  <c r="H106" i="4"/>
  <c r="D47" i="4"/>
  <c r="D102" i="4"/>
  <c r="D98" i="4" s="1"/>
  <c r="D27" i="4"/>
  <c r="D10" i="4"/>
  <c r="H123" i="6"/>
  <c r="H126" i="6"/>
  <c r="H125" i="6" s="1"/>
  <c r="H124" i="6"/>
  <c r="G128" i="6"/>
  <c r="G127" i="6" s="1"/>
  <c r="G96" i="6"/>
  <c r="G95" i="6" s="1"/>
  <c r="G92" i="6"/>
  <c r="E48" i="6"/>
  <c r="E47" i="6" s="1"/>
  <c r="E46" i="6" s="1"/>
  <c r="H122" i="6" l="1"/>
  <c r="H121" i="6" s="1"/>
  <c r="D46" i="4"/>
  <c r="D45" i="4" s="1"/>
  <c r="D9" i="4"/>
  <c r="D8" i="4" s="1"/>
  <c r="G91" i="6"/>
  <c r="G90" i="6" s="1"/>
  <c r="C170" i="4" l="1"/>
  <c r="C169" i="4" s="1"/>
  <c r="E170" i="4"/>
  <c r="E169" i="4" s="1"/>
  <c r="H96" i="4"/>
  <c r="G96" i="4"/>
  <c r="F96" i="4"/>
  <c r="E96" i="4"/>
  <c r="H90" i="4"/>
  <c r="H89" i="4" s="1"/>
  <c r="G90" i="4"/>
  <c r="G89" i="4" s="1"/>
  <c r="F90" i="4"/>
  <c r="E90" i="4"/>
  <c r="C119" i="6"/>
  <c r="H152" i="4" l="1"/>
  <c r="G152" i="4"/>
  <c r="F152" i="4"/>
  <c r="E152" i="4"/>
  <c r="C152" i="4"/>
  <c r="I152" i="4" l="1"/>
  <c r="H133" i="4"/>
  <c r="G133" i="4"/>
  <c r="I133" i="4" s="1"/>
  <c r="F133" i="4"/>
  <c r="E133" i="4"/>
  <c r="C133" i="4"/>
  <c r="H127" i="4"/>
  <c r="G127" i="4"/>
  <c r="F127" i="4"/>
  <c r="E127" i="4"/>
  <c r="C127" i="4"/>
  <c r="H124" i="4"/>
  <c r="G124" i="4"/>
  <c r="F124" i="4"/>
  <c r="E124" i="4"/>
  <c r="C124" i="4"/>
  <c r="H121" i="4"/>
  <c r="G121" i="4"/>
  <c r="F121" i="4"/>
  <c r="E121" i="4"/>
  <c r="C121" i="4"/>
  <c r="H118" i="4"/>
  <c r="G118" i="4"/>
  <c r="I118" i="4" s="1"/>
  <c r="F118" i="4"/>
  <c r="F117" i="4" s="1"/>
  <c r="E118" i="4"/>
  <c r="C118" i="4"/>
  <c r="H158" i="4"/>
  <c r="G158" i="4"/>
  <c r="I158" i="4" s="1"/>
  <c r="F158" i="4"/>
  <c r="E158" i="4"/>
  <c r="C158" i="4"/>
  <c r="H149" i="4"/>
  <c r="H142" i="4" s="1"/>
  <c r="G149" i="4"/>
  <c r="F149" i="4"/>
  <c r="E149" i="4"/>
  <c r="C149" i="4"/>
  <c r="G146" i="4"/>
  <c r="F146" i="4"/>
  <c r="E146" i="4"/>
  <c r="C146" i="4"/>
  <c r="G143" i="4"/>
  <c r="F143" i="4"/>
  <c r="E143" i="4"/>
  <c r="C143" i="4"/>
  <c r="C117" i="4" l="1"/>
  <c r="I143" i="4"/>
  <c r="E117" i="4"/>
  <c r="G142" i="4"/>
  <c r="H117" i="4"/>
  <c r="I127" i="4"/>
  <c r="G117" i="4"/>
  <c r="I146" i="4"/>
  <c r="I121" i="4"/>
  <c r="I149" i="4"/>
  <c r="I124" i="4"/>
  <c r="F142" i="4"/>
  <c r="E142" i="4"/>
  <c r="C142" i="4"/>
  <c r="I117" i="4" l="1"/>
  <c r="I142" i="4"/>
  <c r="E28" i="4"/>
  <c r="C96" i="4" l="1"/>
  <c r="C95" i="4" s="1"/>
  <c r="E103" i="4"/>
  <c r="C103" i="4"/>
  <c r="C90" i="4"/>
  <c r="C89" i="4" s="1"/>
  <c r="E100" i="4"/>
  <c r="E99" i="4" s="1"/>
  <c r="C100" i="4"/>
  <c r="C99" i="4" s="1"/>
  <c r="H95" i="4"/>
  <c r="G95" i="4"/>
  <c r="F95" i="4"/>
  <c r="E95" i="4"/>
  <c r="E89" i="4"/>
  <c r="E86" i="4"/>
  <c r="E85" i="4" s="1"/>
  <c r="C86" i="4"/>
  <c r="C85" i="4" s="1"/>
  <c r="E78" i="4"/>
  <c r="C78" i="4"/>
  <c r="E76" i="4"/>
  <c r="C76" i="4"/>
  <c r="E66" i="4"/>
  <c r="C66" i="4"/>
  <c r="E60" i="4"/>
  <c r="C60" i="4"/>
  <c r="E55" i="4"/>
  <c r="C55" i="4"/>
  <c r="E52" i="4"/>
  <c r="C52" i="4"/>
  <c r="E50" i="4"/>
  <c r="E48" i="4"/>
  <c r="C105" i="4"/>
  <c r="E105" i="4"/>
  <c r="I105" i="4" s="1"/>
  <c r="F89" i="4"/>
  <c r="C50" i="4"/>
  <c r="C48" i="4"/>
  <c r="E33" i="4"/>
  <c r="E31" i="4"/>
  <c r="E25" i="4"/>
  <c r="E22" i="4"/>
  <c r="E20" i="4"/>
  <c r="E16" i="4"/>
  <c r="C16" i="4"/>
  <c r="E13" i="4"/>
  <c r="E11" i="4"/>
  <c r="C31" i="4"/>
  <c r="C25" i="4"/>
  <c r="C24" i="4" s="1"/>
  <c r="C22" i="4"/>
  <c r="C20" i="4"/>
  <c r="C13" i="4"/>
  <c r="C11" i="4"/>
  <c r="E24" i="4" l="1"/>
  <c r="C102" i="4"/>
  <c r="C98" i="4" s="1"/>
  <c r="E102" i="4"/>
  <c r="E98" i="4" s="1"/>
  <c r="H15" i="2" s="1"/>
  <c r="I15" i="2" s="1"/>
  <c r="E47" i="4"/>
  <c r="C54" i="4"/>
  <c r="E54" i="4"/>
  <c r="C47" i="4"/>
  <c r="E10" i="4"/>
  <c r="C10" i="4"/>
  <c r="C34" i="4"/>
  <c r="C33" i="4" s="1"/>
  <c r="C28" i="4"/>
  <c r="C27" i="4" s="1"/>
  <c r="C19" i="4"/>
  <c r="E27" i="4"/>
  <c r="E19" i="4"/>
  <c r="F15" i="2" l="1"/>
  <c r="C46" i="4"/>
  <c r="F14" i="2" s="1"/>
  <c r="E46" i="4"/>
  <c r="E9" i="4"/>
  <c r="C9" i="4"/>
  <c r="C45" i="4" l="1"/>
  <c r="F11" i="2"/>
  <c r="C8" i="4"/>
  <c r="H14" i="2"/>
  <c r="I14" i="2" s="1"/>
  <c r="E45" i="4"/>
  <c r="H11" i="2"/>
  <c r="I11" i="2" s="1"/>
  <c r="E8" i="4"/>
  <c r="G31" i="4"/>
  <c r="I31" i="4" s="1"/>
  <c r="F31" i="4"/>
  <c r="G28" i="4"/>
  <c r="F28" i="4"/>
  <c r="H25" i="4"/>
  <c r="H24" i="4" s="1"/>
  <c r="G25" i="4"/>
  <c r="F25" i="4"/>
  <c r="F24" i="4" s="1"/>
  <c r="H22" i="4"/>
  <c r="H20" i="4"/>
  <c r="G22" i="4"/>
  <c r="G20" i="4"/>
  <c r="F22" i="4"/>
  <c r="F20" i="4"/>
  <c r="H11" i="4"/>
  <c r="H10" i="4" s="1"/>
  <c r="G11" i="4"/>
  <c r="I11" i="4" s="1"/>
  <c r="F11" i="4"/>
  <c r="G100" i="4"/>
  <c r="G99" i="4" s="1"/>
  <c r="H76" i="4"/>
  <c r="G76" i="4"/>
  <c r="I76" i="4" s="1"/>
  <c r="F76" i="4"/>
  <c r="H55" i="4"/>
  <c r="H100" i="4"/>
  <c r="H99" i="4" s="1"/>
  <c r="H103" i="4"/>
  <c r="G55" i="4"/>
  <c r="I55" i="4" s="1"/>
  <c r="G103" i="4"/>
  <c r="F100" i="4"/>
  <c r="F99" i="4" s="1"/>
  <c r="F103" i="4"/>
  <c r="H48" i="4"/>
  <c r="G48" i="4"/>
  <c r="I48" i="4" s="1"/>
  <c r="F48" i="4"/>
  <c r="H50" i="4"/>
  <c r="G50" i="4"/>
  <c r="I50" i="4" s="1"/>
  <c r="F50" i="4"/>
  <c r="H52" i="4"/>
  <c r="G52" i="4"/>
  <c r="I52" i="4" s="1"/>
  <c r="F52" i="4"/>
  <c r="C48" i="6"/>
  <c r="C47" i="6" s="1"/>
  <c r="C46" i="6" s="1"/>
  <c r="C30" i="6"/>
  <c r="G80" i="6"/>
  <c r="F80" i="6"/>
  <c r="D80" i="6"/>
  <c r="C80" i="6"/>
  <c r="G54" i="6"/>
  <c r="G53" i="6" s="1"/>
  <c r="G52" i="6" s="1"/>
  <c r="F54" i="6"/>
  <c r="F53" i="6" s="1"/>
  <c r="F52" i="6" s="1"/>
  <c r="E54" i="6"/>
  <c r="E53" i="6" s="1"/>
  <c r="E52" i="6" s="1"/>
  <c r="D54" i="6"/>
  <c r="C54" i="6"/>
  <c r="C53" i="6" s="1"/>
  <c r="C52" i="6" s="1"/>
  <c r="G48" i="6"/>
  <c r="F48" i="6"/>
  <c r="D48" i="6"/>
  <c r="D47" i="6" s="1"/>
  <c r="D46" i="6" s="1"/>
  <c r="G33" i="6"/>
  <c r="F33" i="6"/>
  <c r="E33" i="6"/>
  <c r="G30" i="6"/>
  <c r="G29" i="6" s="1"/>
  <c r="G28" i="6" s="1"/>
  <c r="F30" i="6"/>
  <c r="F29" i="6" s="1"/>
  <c r="F28" i="6" s="1"/>
  <c r="E30" i="6"/>
  <c r="E29" i="6" s="1"/>
  <c r="E28" i="6" s="1"/>
  <c r="D33" i="6"/>
  <c r="C33" i="6"/>
  <c r="D30" i="6"/>
  <c r="D29" i="6" s="1"/>
  <c r="D28" i="6" s="1"/>
  <c r="D79" i="6"/>
  <c r="D78" i="6"/>
  <c r="D75" i="6"/>
  <c r="H75" i="6" s="1"/>
  <c r="D74" i="6"/>
  <c r="H74" i="6" s="1"/>
  <c r="G68" i="6"/>
  <c r="G67" i="6" s="1"/>
  <c r="F68" i="6"/>
  <c r="E68" i="6"/>
  <c r="E67" i="6" s="1"/>
  <c r="D68" i="6"/>
  <c r="D67" i="6" s="1"/>
  <c r="C68" i="6"/>
  <c r="C67" i="6" s="1"/>
  <c r="G38" i="6"/>
  <c r="G37" i="6" s="1"/>
  <c r="G36" i="6" s="1"/>
  <c r="F38" i="6"/>
  <c r="E38" i="6"/>
  <c r="E37" i="6" s="1"/>
  <c r="E36" i="6" s="1"/>
  <c r="D38" i="6"/>
  <c r="D37" i="6" s="1"/>
  <c r="D36" i="6" s="1"/>
  <c r="C38" i="6"/>
  <c r="C37" i="6" s="1"/>
  <c r="C36" i="6" s="1"/>
  <c r="G23" i="6"/>
  <c r="G22" i="6" s="1"/>
  <c r="F23" i="6"/>
  <c r="E23" i="6"/>
  <c r="E22" i="6" s="1"/>
  <c r="D23" i="6"/>
  <c r="D22" i="6" s="1"/>
  <c r="C23" i="6"/>
  <c r="C22" i="6" s="1"/>
  <c r="D118" i="6"/>
  <c r="H118" i="6" s="1"/>
  <c r="D117" i="6"/>
  <c r="H117" i="6" s="1"/>
  <c r="D120" i="6"/>
  <c r="F119" i="6"/>
  <c r="F116" i="6"/>
  <c r="C116" i="6"/>
  <c r="C115" i="6" s="1"/>
  <c r="D112" i="6"/>
  <c r="H112" i="6" s="1"/>
  <c r="D114" i="6"/>
  <c r="D111" i="6"/>
  <c r="H111" i="6" s="1"/>
  <c r="F113" i="6"/>
  <c r="C113" i="6"/>
  <c r="F110" i="6"/>
  <c r="C110" i="6"/>
  <c r="G104" i="6"/>
  <c r="G103" i="6" s="1"/>
  <c r="F104" i="6"/>
  <c r="E104" i="6"/>
  <c r="E103" i="6" s="1"/>
  <c r="D104" i="6"/>
  <c r="D103" i="6" s="1"/>
  <c r="C104" i="6"/>
  <c r="C103" i="6" s="1"/>
  <c r="E91" i="6"/>
  <c r="E90" i="6" s="1"/>
  <c r="F90" i="6"/>
  <c r="D90" i="6"/>
  <c r="C90" i="6"/>
  <c r="F77" i="6"/>
  <c r="C77" i="6"/>
  <c r="C76" i="6" s="1"/>
  <c r="C73" i="6"/>
  <c r="C72" i="6" s="1"/>
  <c r="G44" i="6"/>
  <c r="F44" i="6"/>
  <c r="E44" i="6"/>
  <c r="D44" i="6"/>
  <c r="C44" i="6"/>
  <c r="G42" i="6"/>
  <c r="F42" i="6"/>
  <c r="E42" i="6"/>
  <c r="D42" i="6"/>
  <c r="C42" i="6"/>
  <c r="D137" i="6"/>
  <c r="D136" i="6" s="1"/>
  <c r="D135" i="6" s="1"/>
  <c r="C137" i="6"/>
  <c r="C136" i="6" s="1"/>
  <c r="C135" i="6" s="1"/>
  <c r="C134" i="6" s="1"/>
  <c r="D132" i="6"/>
  <c r="D131" i="6" s="1"/>
  <c r="D130" i="6" s="1"/>
  <c r="C132" i="6"/>
  <c r="C131" i="6" s="1"/>
  <c r="C130" i="6" s="1"/>
  <c r="D125" i="6"/>
  <c r="C125" i="6"/>
  <c r="D122" i="6"/>
  <c r="C122" i="6"/>
  <c r="D107" i="6"/>
  <c r="D106" i="6" s="1"/>
  <c r="C107" i="6"/>
  <c r="C106" i="6" s="1"/>
  <c r="D99" i="6"/>
  <c r="D98" i="6" s="1"/>
  <c r="C99" i="6"/>
  <c r="C98" i="6" s="1"/>
  <c r="C89" i="6" s="1"/>
  <c r="D86" i="6"/>
  <c r="D85" i="6" s="1"/>
  <c r="C86" i="6"/>
  <c r="C85" i="6" s="1"/>
  <c r="D65" i="6"/>
  <c r="D64" i="6" s="1"/>
  <c r="D59" i="6"/>
  <c r="D58" i="6" s="1"/>
  <c r="C65" i="6"/>
  <c r="C64" i="6" s="1"/>
  <c r="C59" i="6"/>
  <c r="C58" i="6" s="1"/>
  <c r="D20" i="6"/>
  <c r="D18" i="6"/>
  <c r="D15" i="6"/>
  <c r="D14" i="6" s="1"/>
  <c r="D11" i="6"/>
  <c r="C20" i="6"/>
  <c r="C18" i="6"/>
  <c r="C15" i="6"/>
  <c r="C14" i="6" s="1"/>
  <c r="C11" i="6"/>
  <c r="C10" i="6" s="1"/>
  <c r="C9" i="6" s="1"/>
  <c r="G137" i="6"/>
  <c r="G136" i="6" s="1"/>
  <c r="G135" i="6" s="1"/>
  <c r="G134" i="6" s="1"/>
  <c r="F137" i="6"/>
  <c r="F136" i="6" s="1"/>
  <c r="F135" i="6" s="1"/>
  <c r="F134" i="6" s="1"/>
  <c r="E137" i="6"/>
  <c r="E136" i="6" s="1"/>
  <c r="E135" i="6" s="1"/>
  <c r="E134" i="6" s="1"/>
  <c r="G132" i="6"/>
  <c r="G131" i="6" s="1"/>
  <c r="G130" i="6" s="1"/>
  <c r="F132" i="6"/>
  <c r="F131" i="6" s="1"/>
  <c r="F130" i="6" s="1"/>
  <c r="E132" i="6"/>
  <c r="E131" i="6" s="1"/>
  <c r="E130" i="6" s="1"/>
  <c r="G125" i="6"/>
  <c r="F125" i="6"/>
  <c r="E125" i="6"/>
  <c r="G107" i="6"/>
  <c r="G106" i="6" s="1"/>
  <c r="F107" i="6"/>
  <c r="F106" i="6" s="1"/>
  <c r="E107" i="6"/>
  <c r="E106" i="6" s="1"/>
  <c r="G99" i="6"/>
  <c r="G98" i="6" s="1"/>
  <c r="G89" i="6" s="1"/>
  <c r="F99" i="6"/>
  <c r="F98" i="6" s="1"/>
  <c r="G86" i="6"/>
  <c r="G85" i="6" s="1"/>
  <c r="F86" i="6"/>
  <c r="F85" i="6" s="1"/>
  <c r="F73" i="6"/>
  <c r="G20" i="6"/>
  <c r="F20" i="6"/>
  <c r="E20" i="6"/>
  <c r="I28" i="4" l="1"/>
  <c r="G27" i="4"/>
  <c r="I27" i="4" s="1"/>
  <c r="H42" i="6"/>
  <c r="H23" i="6"/>
  <c r="F22" i="6"/>
  <c r="H90" i="6"/>
  <c r="H44" i="6"/>
  <c r="D57" i="6"/>
  <c r="F76" i="6"/>
  <c r="F103" i="6"/>
  <c r="H103" i="6" s="1"/>
  <c r="H104" i="6"/>
  <c r="G114" i="6"/>
  <c r="G113" i="6" s="1"/>
  <c r="H114" i="6"/>
  <c r="F37" i="6"/>
  <c r="H38" i="6"/>
  <c r="G120" i="6"/>
  <c r="G119" i="6" s="1"/>
  <c r="H120" i="6"/>
  <c r="F67" i="6"/>
  <c r="H67" i="6" s="1"/>
  <c r="H68" i="6"/>
  <c r="E78" i="6"/>
  <c r="H78" i="6"/>
  <c r="H48" i="6"/>
  <c r="F115" i="6"/>
  <c r="F72" i="6"/>
  <c r="D10" i="6"/>
  <c r="D9" i="6" s="1"/>
  <c r="H11" i="6"/>
  <c r="C109" i="6"/>
  <c r="E79" i="6"/>
  <c r="H79" i="6"/>
  <c r="D53" i="6"/>
  <c r="G24" i="4"/>
  <c r="I24" i="4" s="1"/>
  <c r="I25" i="4"/>
  <c r="I103" i="4"/>
  <c r="G102" i="4"/>
  <c r="I102" i="4" s="1"/>
  <c r="F89" i="6"/>
  <c r="E75" i="6"/>
  <c r="G75" i="6"/>
  <c r="E112" i="6"/>
  <c r="G112" i="6"/>
  <c r="E74" i="6"/>
  <c r="G74" i="6"/>
  <c r="D134" i="6"/>
  <c r="E111" i="6"/>
  <c r="G111" i="6"/>
  <c r="G78" i="6"/>
  <c r="E118" i="6"/>
  <c r="G118" i="6"/>
  <c r="E117" i="6"/>
  <c r="G117" i="6"/>
  <c r="G79" i="6"/>
  <c r="F109" i="6"/>
  <c r="D113" i="6"/>
  <c r="H113" i="6" s="1"/>
  <c r="E114" i="6"/>
  <c r="E113" i="6" s="1"/>
  <c r="D119" i="6"/>
  <c r="H119" i="6" s="1"/>
  <c r="E120" i="6"/>
  <c r="E119" i="6" s="1"/>
  <c r="D73" i="6"/>
  <c r="D72" i="6" s="1"/>
  <c r="D116" i="6"/>
  <c r="H116" i="6" s="1"/>
  <c r="C121" i="6"/>
  <c r="C102" i="6" s="1"/>
  <c r="C57" i="6"/>
  <c r="C56" i="6" s="1"/>
  <c r="C29" i="6"/>
  <c r="C28" i="6" s="1"/>
  <c r="C41" i="6"/>
  <c r="C40" i="6" s="1"/>
  <c r="G41" i="6"/>
  <c r="G40" i="6" s="1"/>
  <c r="D89" i="6"/>
  <c r="D110" i="6"/>
  <c r="C17" i="6"/>
  <c r="C13" i="6" s="1"/>
  <c r="C8" i="6" s="1"/>
  <c r="E41" i="6"/>
  <c r="E40" i="6" s="1"/>
  <c r="D121" i="6"/>
  <c r="D77" i="6"/>
  <c r="D76" i="6" s="1"/>
  <c r="F41" i="6"/>
  <c r="C71" i="6"/>
  <c r="D17" i="6"/>
  <c r="G47" i="4"/>
  <c r="H47" i="4"/>
  <c r="F47" i="4"/>
  <c r="F55" i="4"/>
  <c r="H33" i="4"/>
  <c r="G86" i="4"/>
  <c r="H86" i="4"/>
  <c r="H85" i="4" s="1"/>
  <c r="F86" i="4"/>
  <c r="F85" i="4" s="1"/>
  <c r="F33" i="4"/>
  <c r="G34" i="4"/>
  <c r="F27" i="4"/>
  <c r="H27" i="4"/>
  <c r="F19" i="4"/>
  <c r="H19" i="4"/>
  <c r="G19" i="4"/>
  <c r="F16" i="4"/>
  <c r="G16" i="4"/>
  <c r="G13" i="4"/>
  <c r="I13" i="4" s="1"/>
  <c r="F13" i="4"/>
  <c r="F105" i="4"/>
  <c r="F102" i="4" s="1"/>
  <c r="F98" i="4" s="1"/>
  <c r="H105" i="4"/>
  <c r="H102" i="4" s="1"/>
  <c r="H98" i="4" s="1"/>
  <c r="F66" i="4"/>
  <c r="G60" i="4"/>
  <c r="I60" i="4" s="1"/>
  <c r="G78" i="4"/>
  <c r="I78" i="4" s="1"/>
  <c r="H60" i="4"/>
  <c r="H66" i="4"/>
  <c r="G66" i="4"/>
  <c r="I66" i="4" s="1"/>
  <c r="F78" i="4"/>
  <c r="F60" i="4"/>
  <c r="H78" i="4"/>
  <c r="D41" i="6"/>
  <c r="D40" i="6" s="1"/>
  <c r="F122" i="6"/>
  <c r="F121" i="6" s="1"/>
  <c r="G122" i="6"/>
  <c r="G121" i="6" s="1"/>
  <c r="E122" i="6"/>
  <c r="E121" i="6" s="1"/>
  <c r="E99" i="6"/>
  <c r="E98" i="6" s="1"/>
  <c r="E89" i="6" s="1"/>
  <c r="F47" i="6"/>
  <c r="G47" i="6"/>
  <c r="G46" i="6" s="1"/>
  <c r="F65" i="6"/>
  <c r="F64" i="6" s="1"/>
  <c r="G65" i="6"/>
  <c r="G64" i="6" s="1"/>
  <c r="E65" i="6"/>
  <c r="E64" i="6" s="1"/>
  <c r="F59" i="6"/>
  <c r="G59" i="6"/>
  <c r="G58" i="6" s="1"/>
  <c r="E59" i="6"/>
  <c r="E58" i="6" s="1"/>
  <c r="E15" i="6"/>
  <c r="E14" i="6" s="1"/>
  <c r="G18" i="6"/>
  <c r="F18" i="6"/>
  <c r="F17" i="6" s="1"/>
  <c r="E18" i="6"/>
  <c r="E17" i="6" s="1"/>
  <c r="F15" i="6"/>
  <c r="G15" i="6"/>
  <c r="G14" i="6" s="1"/>
  <c r="G10" i="6"/>
  <c r="G9" i="6" s="1"/>
  <c r="F10" i="6"/>
  <c r="F9" i="6" s="1"/>
  <c r="E10" i="6"/>
  <c r="E9" i="6" s="1"/>
  <c r="H9" i="4" l="1"/>
  <c r="D8" i="6"/>
  <c r="F71" i="6"/>
  <c r="F102" i="6"/>
  <c r="E73" i="6"/>
  <c r="E72" i="6" s="1"/>
  <c r="H10" i="6"/>
  <c r="D109" i="6"/>
  <c r="H109" i="6" s="1"/>
  <c r="H89" i="6"/>
  <c r="H76" i="6"/>
  <c r="F14" i="6"/>
  <c r="H14" i="6" s="1"/>
  <c r="H15" i="6"/>
  <c r="F46" i="6"/>
  <c r="H47" i="6"/>
  <c r="D71" i="6"/>
  <c r="H71" i="6" s="1"/>
  <c r="E110" i="6"/>
  <c r="H73" i="6"/>
  <c r="H110" i="6"/>
  <c r="E77" i="6"/>
  <c r="E76" i="6" s="1"/>
  <c r="F36" i="6"/>
  <c r="H37" i="6"/>
  <c r="H77" i="6"/>
  <c r="F58" i="6"/>
  <c r="H58" i="6" s="1"/>
  <c r="H59" i="6"/>
  <c r="F40" i="6"/>
  <c r="H40" i="6" s="1"/>
  <c r="H41" i="6"/>
  <c r="H72" i="6"/>
  <c r="D52" i="6"/>
  <c r="G85" i="4"/>
  <c r="I85" i="4" s="1"/>
  <c r="I86" i="4"/>
  <c r="I47" i="4"/>
  <c r="G33" i="4"/>
  <c r="I34" i="4"/>
  <c r="G98" i="4"/>
  <c r="E13" i="6"/>
  <c r="E8" i="6" s="1"/>
  <c r="D13" i="6"/>
  <c r="G110" i="6"/>
  <c r="G109" i="6" s="1"/>
  <c r="D56" i="6"/>
  <c r="G116" i="6"/>
  <c r="G115" i="6" s="1"/>
  <c r="G77" i="6"/>
  <c r="G76" i="6" s="1"/>
  <c r="G57" i="6"/>
  <c r="G56" i="6" s="1"/>
  <c r="E116" i="6"/>
  <c r="E115" i="6" s="1"/>
  <c r="G73" i="6"/>
  <c r="G72" i="6" s="1"/>
  <c r="F70" i="6"/>
  <c r="E109" i="6"/>
  <c r="D115" i="6"/>
  <c r="D102" i="6" s="1"/>
  <c r="H102" i="6" s="1"/>
  <c r="E57" i="6"/>
  <c r="E56" i="6" s="1"/>
  <c r="F10" i="4"/>
  <c r="F9" i="4" s="1"/>
  <c r="G10" i="4"/>
  <c r="G54" i="4"/>
  <c r="I54" i="4" s="1"/>
  <c r="F54" i="4"/>
  <c r="F46" i="4" s="1"/>
  <c r="H54" i="4"/>
  <c r="H46" i="4" s="1"/>
  <c r="C70" i="6"/>
  <c r="C7" i="6" s="1"/>
  <c r="G17" i="6"/>
  <c r="G13" i="6" s="1"/>
  <c r="G8" i="6" s="1"/>
  <c r="F42" i="2"/>
  <c r="H39" i="2"/>
  <c r="H42" i="2" s="1"/>
  <c r="I39" i="2" s="1"/>
  <c r="I42" i="2" s="1"/>
  <c r="J39" i="2" s="1"/>
  <c r="J42" i="2" s="1"/>
  <c r="K39" i="2" s="1"/>
  <c r="K42" i="2" s="1"/>
  <c r="K24" i="2"/>
  <c r="J24" i="2"/>
  <c r="I24" i="2"/>
  <c r="H24" i="2"/>
  <c r="F24" i="2"/>
  <c r="H13" i="2"/>
  <c r="F13" i="2"/>
  <c r="H10" i="2"/>
  <c r="F10" i="2"/>
  <c r="G46" i="4" l="1"/>
  <c r="I46" i="4" s="1"/>
  <c r="L14" i="2" s="1"/>
  <c r="F57" i="6"/>
  <c r="E102" i="6"/>
  <c r="F13" i="6"/>
  <c r="F8" i="6" s="1"/>
  <c r="E71" i="6"/>
  <c r="F56" i="6"/>
  <c r="H56" i="6" s="1"/>
  <c r="H57" i="6"/>
  <c r="H13" i="6"/>
  <c r="H9" i="6"/>
  <c r="H36" i="6"/>
  <c r="H22" i="6"/>
  <c r="H46" i="6"/>
  <c r="H115" i="6"/>
  <c r="I33" i="4"/>
  <c r="G9" i="4"/>
  <c r="G45" i="4"/>
  <c r="J15" i="2"/>
  <c r="K15" i="2" s="1"/>
  <c r="I98" i="4"/>
  <c r="L15" i="2" s="1"/>
  <c r="I10" i="4"/>
  <c r="I10" i="2"/>
  <c r="F8" i="4"/>
  <c r="H8" i="4"/>
  <c r="G102" i="6"/>
  <c r="D70" i="6"/>
  <c r="G71" i="6"/>
  <c r="E70" i="6"/>
  <c r="H45" i="4"/>
  <c r="J14" i="2"/>
  <c r="I13" i="2"/>
  <c r="F45" i="4"/>
  <c r="C6" i="6"/>
  <c r="F16" i="2"/>
  <c r="F25" i="2" s="1"/>
  <c r="F32" i="2" s="1"/>
  <c r="F33" i="2" s="1"/>
  <c r="H16" i="2"/>
  <c r="H25" i="2" s="1"/>
  <c r="H32" i="2" s="1"/>
  <c r="G70" i="6" l="1"/>
  <c r="E7" i="6"/>
  <c r="E6" i="6" s="1"/>
  <c r="F169" i="4"/>
  <c r="F7" i="6"/>
  <c r="F6" i="6" s="1"/>
  <c r="D7" i="6"/>
  <c r="H8" i="6"/>
  <c r="I9" i="4"/>
  <c r="L11" i="2" s="1"/>
  <c r="L10" i="2" s="1"/>
  <c r="L13" i="2"/>
  <c r="G8" i="4"/>
  <c r="J11" i="2"/>
  <c r="J10" i="2" s="1"/>
  <c r="H70" i="6"/>
  <c r="I45" i="4"/>
  <c r="J13" i="2"/>
  <c r="K14" i="2"/>
  <c r="K13" i="2" s="1"/>
  <c r="G170" i="4"/>
  <c r="G169" i="4" s="1"/>
  <c r="I16" i="2"/>
  <c r="I25" i="2" s="1"/>
  <c r="I32" i="2" s="1"/>
  <c r="I33" i="2" s="1"/>
  <c r="H33" i="2"/>
  <c r="G7" i="6"/>
  <c r="G6" i="6" s="1"/>
  <c r="H170" i="4" l="1"/>
  <c r="H169" i="4" s="1"/>
  <c r="L16" i="2"/>
  <c r="H7" i="6"/>
  <c r="I8" i="4"/>
  <c r="K11" i="2"/>
  <c r="K10" i="2" s="1"/>
  <c r="D6" i="6"/>
  <c r="J16" i="2"/>
  <c r="J25" i="2" s="1"/>
  <c r="J32" i="2" s="1"/>
  <c r="J33" i="2" s="1"/>
  <c r="K16" i="2" l="1"/>
  <c r="K25" i="2" s="1"/>
  <c r="K32" i="2" s="1"/>
  <c r="K33" i="2" s="1"/>
  <c r="H6" i="6"/>
</calcChain>
</file>

<file path=xl/sharedStrings.xml><?xml version="1.0" encoding="utf-8"?>
<sst xmlns="http://schemas.openxmlformats.org/spreadsheetml/2006/main" count="604" uniqueCount="299">
  <si>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</si>
  <si>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</si>
  <si>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</si>
  <si>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</si>
  <si>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</si>
  <si>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</si>
  <si>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</si>
  <si>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</si>
  <si>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</si>
  <si>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</si>
  <si>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</si>
  <si>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</si>
  <si>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</si>
  <si>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</si>
  <si>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</si>
  <si>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</si>
  <si>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</si>
  <si>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</si>
  <si>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</si>
  <si>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</si>
  <si>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</si>
  <si>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</si>
  <si>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</si>
  <si>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</si>
  <si>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</si>
  <si>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</si>
  <si>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</si>
  <si>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</si>
  <si>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</si>
  <si>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</si>
  <si>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</si>
  <si>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</si>
  <si>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 xml:space="preserve"> Prihodi od prodaje proizvoda i robe te pruženih usluga i prihodi od donacija</t>
  </si>
  <si>
    <t>…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</si>
  <si>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</si>
  <si>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</si>
  <si>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</si>
  <si>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</si>
  <si>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</si>
  <si>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</si>
  <si>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</si>
  <si>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</si>
  <si>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</si>
  <si>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</si>
  <si>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</si>
  <si>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</si>
  <si>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</si>
  <si>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</si>
  <si>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</si>
  <si>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</si>
  <si>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</si>
  <si>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</si>
  <si>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</si>
  <si>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</si>
  <si>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</si>
  <si>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Ostali prihodi za posebne namjene</t>
  </si>
  <si>
    <t>Vlastii prihodi</t>
  </si>
  <si>
    <t>Prihodi za posebne namjene</t>
  </si>
  <si>
    <t>Namjenski primici</t>
  </si>
  <si>
    <t>Namjenski primici od zaduživanja</t>
  </si>
  <si>
    <t>VIŠAK / MANJAK TEKUĆE GODINE
(VIŠAK / MANJAK + NETO FINANCIRANJE)</t>
  </si>
  <si>
    <t>RAZDJEL 009</t>
  </si>
  <si>
    <t>UPRAVNI ODJEL ZA OBRAZOVANJE, SPORT I TEHNIČKU KULTURU</t>
  </si>
  <si>
    <t>GLAVA 04/RKP 36436</t>
  </si>
  <si>
    <t>VISOKO OBRAZOVNE USTANOVE ISTASKO VELEUČILIŠTE</t>
  </si>
  <si>
    <t>PROGRAM 2503</t>
  </si>
  <si>
    <t>REDOVNA DJELATNOST ISTARSKOG VELEUČILIŠTA</t>
  </si>
  <si>
    <t>Aktivnost A250311</t>
  </si>
  <si>
    <t>RASHODI ZA ZAPOSLENE</t>
  </si>
  <si>
    <t>Nenamjenski prihodi i primici</t>
  </si>
  <si>
    <t>Razred 3</t>
  </si>
  <si>
    <t>Skupina 32</t>
  </si>
  <si>
    <t>Skupina 31</t>
  </si>
  <si>
    <t>IZVRŠENJE 
2024</t>
  </si>
  <si>
    <t>Aktivnost A250312</t>
  </si>
  <si>
    <t>MATERIJALNI RASHODI</t>
  </si>
  <si>
    <t>Izvor financiranja 1.1.001</t>
  </si>
  <si>
    <t>Izvor financiranja 4.3.500</t>
  </si>
  <si>
    <t>Prihodi za posebne namjene - vlastiti</t>
  </si>
  <si>
    <t>Aktivnost A250501</t>
  </si>
  <si>
    <t>MATERIJALNI RASHODI - METRIS</t>
  </si>
  <si>
    <t>PROGRAM 2505</t>
  </si>
  <si>
    <t>CENTAR ISTRAŽIVANJA METRIS</t>
  </si>
  <si>
    <t>Skupina 34</t>
  </si>
  <si>
    <t xml:space="preserve">Vlastiti prihodi </t>
  </si>
  <si>
    <t>Aktivnost A250306</t>
  </si>
  <si>
    <t>Izvor financiranja 5.0.183</t>
  </si>
  <si>
    <t>Agencija za mobilnost i programe EU za proračunske korisnike</t>
  </si>
  <si>
    <t>EU PROJEKT: ERASMUS + program MOBILNOST</t>
  </si>
  <si>
    <t>PROGRAM 9213</t>
  </si>
  <si>
    <t>EU projekti u školstvu</t>
  </si>
  <si>
    <t>PROGRAM 9223</t>
  </si>
  <si>
    <t>I-STEM</t>
  </si>
  <si>
    <t>Skupina 41</t>
  </si>
  <si>
    <t>Razred 4</t>
  </si>
  <si>
    <t>Tekući projekt T250322</t>
  </si>
  <si>
    <t>Izvor financiranja 6.1.500</t>
  </si>
  <si>
    <t>Donacije- Istarsko veleučilište</t>
  </si>
  <si>
    <t>Skupina 42</t>
  </si>
  <si>
    <t>Rashodi za nabavu proizvedene dugotrajne imovine</t>
  </si>
  <si>
    <t>Izvor financiranja 3.1.500</t>
  </si>
  <si>
    <t>Tekući projekt T921312</t>
  </si>
  <si>
    <t>Resonance</t>
  </si>
  <si>
    <t>Europski fond za regionalni razvoj</t>
  </si>
  <si>
    <t>BusCARD 4.0 Iot</t>
  </si>
  <si>
    <t>Izvor financiranja 5.7.711</t>
  </si>
  <si>
    <t>Fond za pravednu tranziciju</t>
  </si>
  <si>
    <t>Tekući projekt T921313</t>
  </si>
  <si>
    <t>Tekući projekt T921314</t>
  </si>
  <si>
    <t>ISTRAživački centar METRIS</t>
  </si>
  <si>
    <t>Izvor financiranja 1.1.900</t>
  </si>
  <si>
    <t>Višak prethodne godine- nenamjnski</t>
  </si>
  <si>
    <t>Izvor financiranja 5.1.999</t>
  </si>
  <si>
    <t>Prihodi od EU projekata- OSTALO</t>
  </si>
  <si>
    <t>Tekući projekt T921315</t>
  </si>
  <si>
    <t>STEAM Kreator spajaju znanost i umjetnost</t>
  </si>
  <si>
    <t>Izvor financiranja 5.6.131</t>
  </si>
  <si>
    <t>Europski socijalni fond</t>
  </si>
  <si>
    <t>Tekući projekt T922301</t>
  </si>
  <si>
    <t>Provedba projekta: I- STEM</t>
  </si>
  <si>
    <t>Izvor financiranja 5.6.111</t>
  </si>
  <si>
    <t>Prihodi od EU projekte ESF+</t>
  </si>
  <si>
    <t>RASHODI ZA NABAVU NEPROIZVEDENE DUTORAJNE IMOVINE</t>
  </si>
  <si>
    <t>RASHODI ZA NABAVU PROIZVEDENE DUTORAJNE IMOVINE</t>
  </si>
  <si>
    <t>FINANCIJSKI RASHODI</t>
  </si>
  <si>
    <t>Jadranko 2.0</t>
  </si>
  <si>
    <t>Izvor financiranja 5.6.311</t>
  </si>
  <si>
    <t>Izvor financiranja 1.5.003</t>
  </si>
  <si>
    <t>Prihodi za EU projekte IT-HR</t>
  </si>
  <si>
    <t>Izvor financiranja 1.5.009</t>
  </si>
  <si>
    <t>Prihodi za EU projekte ITP 2021-2027</t>
  </si>
  <si>
    <t>Izvor financiranja 4.7.500</t>
  </si>
  <si>
    <t>Aktivnost A250320</t>
  </si>
  <si>
    <t>CJELOŽIVOTNO UČENJE</t>
  </si>
  <si>
    <t>Izvor financiranja 3.2.500</t>
  </si>
  <si>
    <t>Aktivnost A250301</t>
  </si>
  <si>
    <t>SUFINANCIRANJE REDOVNE DJELATNOSTI</t>
  </si>
  <si>
    <t>Skupina 37</t>
  </si>
  <si>
    <t>NAKNADE GRAĐANIMA I KUĆANSTVIMA</t>
  </si>
  <si>
    <t>Aktivnost K250317</t>
  </si>
  <si>
    <t>Obnova zgrade Istarskog veleučilišta</t>
  </si>
  <si>
    <t>Intereg  VI A IT-CRO CBC Programme 2021-2027</t>
  </si>
  <si>
    <t>Skupina 36</t>
  </si>
  <si>
    <t>3211</t>
  </si>
  <si>
    <t>3212</t>
  </si>
  <si>
    <t>3213</t>
  </si>
  <si>
    <t>3221</t>
  </si>
  <si>
    <t>3223</t>
  </si>
  <si>
    <t>3224</t>
  </si>
  <si>
    <t>3225</t>
  </si>
  <si>
    <t>3227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</si>
  <si>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</si>
  <si>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</si>
  <si>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</si>
  <si>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</si>
  <si>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</si>
  <si>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</si>
  <si>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</si>
  <si>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</si>
  <si>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</si>
  <si>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3241</t>
  </si>
  <si>
    <t>3291</t>
  </si>
  <si>
    <t>3292</t>
  </si>
  <si>
    <t>3293</t>
  </si>
  <si>
    <t>3294</t>
  </si>
  <si>
    <t>3295</t>
  </si>
  <si>
    <t>3299</t>
  </si>
  <si>
    <t>3431</t>
  </si>
  <si>
    <t>4123</t>
  </si>
  <si>
    <t>4212</t>
  </si>
  <si>
    <t>4221</t>
  </si>
  <si>
    <t>4224</t>
  </si>
  <si>
    <t>4225</t>
  </si>
  <si>
    <t>4227</t>
  </si>
  <si>
    <t>6323</t>
  </si>
  <si>
    <t>6381</t>
  </si>
  <si>
    <t>6382</t>
  </si>
  <si>
    <t>6393</t>
  </si>
  <si>
    <t>6394</t>
  </si>
  <si>
    <t>6413</t>
  </si>
  <si>
    <t>6422</t>
  </si>
  <si>
    <t>6526</t>
  </si>
  <si>
    <t>6615</t>
  </si>
  <si>
    <t>6631</t>
  </si>
  <si>
    <t>6711</t>
  </si>
  <si>
    <t>6712</t>
  </si>
  <si>
    <t>09</t>
  </si>
  <si>
    <t>094</t>
  </si>
  <si>
    <t>Visoka naobrazba</t>
  </si>
  <si>
    <t>Obrazovanje</t>
  </si>
  <si>
    <t>Pomoći od međunarodnih organizacija te institucija i tijela EU</t>
  </si>
  <si>
    <t>Tekuće pomoći od institucija i tijela EU</t>
  </si>
  <si>
    <t>Pomoći temeljem prijenosa EU sredstava</t>
  </si>
  <si>
    <t>Tekuće pomoći iz državnog proračuna temeljem prijenosa EU sredstava</t>
  </si>
  <si>
    <t>Prihodi od imovine</t>
  </si>
  <si>
    <t>Prihodi od financijske imovine</t>
  </si>
  <si>
    <t>Kamate na oročena sredstva i depozite po viđenju</t>
  </si>
  <si>
    <t>Prihodi od zakupa</t>
  </si>
  <si>
    <t>Prihodi od zakupa i iznajmljivanja imovine</t>
  </si>
  <si>
    <t>Prihodi od upravnih i admin.pristojbi po posebnim propisima i naknadama</t>
  </si>
  <si>
    <t>Prihodi po posebnim propisima</t>
  </si>
  <si>
    <t>Prihodi od školarina</t>
  </si>
  <si>
    <t>Prihodi od prodaje proizvoda i robe te pruženih usluga</t>
  </si>
  <si>
    <t>Prihodi od obavljanja osnovnih poslova vlastite djelatnosti Centar istraživanja METRIS</t>
  </si>
  <si>
    <t>Prihodi od pruženih usluga</t>
  </si>
  <si>
    <t>Donacije od pravnih i fizičkih osoba</t>
  </si>
  <si>
    <t xml:space="preserve">Tekuće donacije </t>
  </si>
  <si>
    <t>Prihodi iz nadležnog proračuna</t>
  </si>
  <si>
    <t xml:space="preserve">Prihodi iz nadležnog proračuna za financiranje redovne djelatnosti proračunskih korisnika </t>
  </si>
  <si>
    <t>Prihodi za financiranje rashoda poslovanja Veleučilište i Metris</t>
  </si>
  <si>
    <t>Plaće (Bruto)</t>
  </si>
  <si>
    <t>Plaće za redovan rad</t>
  </si>
  <si>
    <t>Ostali rashodi za zaposlene</t>
  </si>
  <si>
    <t>Doprinosi na plaće</t>
  </si>
  <si>
    <t>Dorpinosi za zdravstveno osiguranje</t>
  </si>
  <si>
    <t>Naknade troškova zaposlenima</t>
  </si>
  <si>
    <t>Službena putovanja</t>
  </si>
  <si>
    <t>Naknade za prijevoz</t>
  </si>
  <si>
    <t>Stručno usavršavanje zaposlenika</t>
  </si>
  <si>
    <t>Ostale naknade troškova zaposlenima</t>
  </si>
  <si>
    <t>Rashodi za materijal i energiju</t>
  </si>
  <si>
    <t>Uredski material i ostali materijalni rashodi</t>
  </si>
  <si>
    <t>Energija</t>
  </si>
  <si>
    <t>Materijal i djelovi za tekuće i inv.održavanje</t>
  </si>
  <si>
    <t>Sitan inventar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</si>
  <si>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</si>
  <si>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</si>
  <si>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</si>
  <si>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</si>
  <si>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</si>
  <si>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</si>
  <si>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</si>
  <si>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</si>
  <si>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</si>
  <si>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</si>
  <si>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</si>
  <si>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</si>
  <si>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</si>
  <si>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</t>
  </si>
  <si>
    <t>Premije osiguranja</t>
  </si>
  <si>
    <t>Reprezentacija</t>
  </si>
  <si>
    <t>Članarine</t>
  </si>
  <si>
    <t>Pristojbe i naknade</t>
  </si>
  <si>
    <t>Financijski rashodi</t>
  </si>
  <si>
    <t>Ostali financijski rashodi</t>
  </si>
  <si>
    <t>Bankarske usluge i usluge platnog prometa</t>
  </si>
  <si>
    <t>Zatezne kamate</t>
  </si>
  <si>
    <t>Pomoći dane u inozemstvo i unutar općeg proračuna</t>
  </si>
  <si>
    <t>Tekuće pomoći temeljem prijenosa EU sredstava</t>
  </si>
  <si>
    <t>Naknade građanima i kućanstvima u novcu</t>
  </si>
  <si>
    <t>Ostale naknade građanima - projekt Erasmus</t>
  </si>
  <si>
    <t>Nematerijalna imovina</t>
  </si>
  <si>
    <t>Licence</t>
  </si>
  <si>
    <t>Rashodi za nabavu proizv. dugotrajne imovine</t>
  </si>
  <si>
    <t>Građevinski objekti</t>
  </si>
  <si>
    <t xml:space="preserve">Poslovni objekti </t>
  </si>
  <si>
    <t>Postrojenja i oprema</t>
  </si>
  <si>
    <t>Komunikacijska oprema</t>
  </si>
  <si>
    <t xml:space="preserve">Prihodi za financiranje rashoda poslovanja </t>
  </si>
  <si>
    <t>Prihodi za predfinanciranje projekata</t>
  </si>
  <si>
    <t>Prihodi za EU projekte</t>
  </si>
  <si>
    <t>Prihodi za posebne namjene-Školarina</t>
  </si>
  <si>
    <t>Donacije Calucem</t>
  </si>
  <si>
    <t>Donacije</t>
  </si>
  <si>
    <t>Agencija za mobilnost i programe EU za proračunske</t>
  </si>
  <si>
    <t>Pomoći</t>
  </si>
  <si>
    <t>Donacije i sponzorstva pravnih osoba</t>
  </si>
  <si>
    <t>Inozemne darovnice</t>
  </si>
  <si>
    <t>Fondovi EU</t>
  </si>
  <si>
    <t>Ostali programi EU</t>
  </si>
  <si>
    <t>Vlastiti prihodi Centar istraživanja METRIS</t>
  </si>
  <si>
    <t>Kapitalne pomoći temeljem prijenosa  EU sredstava</t>
  </si>
  <si>
    <t>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</si>
  <si>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</si>
  <si>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</si>
  <si>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Uredska oprema i namještaj</t>
  </si>
  <si>
    <t>Medicinska i laboratorijska oprema</t>
  </si>
  <si>
    <t xml:space="preserve">Instrumenti, uređaji i strojevi </t>
  </si>
  <si>
    <t>Uređaji, strojevi i oprema za ostale namjene</t>
  </si>
  <si>
    <t>PLAN 
2025.</t>
  </si>
  <si>
    <t>Izvor financiranja 5.1.500</t>
  </si>
  <si>
    <t>Izvor financiranja 9.1.001</t>
  </si>
  <si>
    <t>Višak prethodne godine- nenamjenski</t>
  </si>
  <si>
    <t>Izvor financiranja 6.2.001</t>
  </si>
  <si>
    <t>Osiguravajuća društva za proračunske korisnike</t>
  </si>
  <si>
    <t>PLAN 2025</t>
  </si>
  <si>
    <t>POVEĆANJE/ SMANJENJE</t>
  </si>
  <si>
    <t>INDEKS</t>
  </si>
  <si>
    <t>Višak prethodne godine-nenamjenski</t>
  </si>
  <si>
    <t>Rezultat poslovanja</t>
  </si>
  <si>
    <t>Višak/manjak prihoda</t>
  </si>
  <si>
    <t>Višak prihoda</t>
  </si>
  <si>
    <t>Tekući prijenosi između proračunskih korisnika istog proračuna</t>
  </si>
  <si>
    <t>1. IZMJENE I DOPUNE PLANA 2025</t>
  </si>
  <si>
    <t>2. IZMJENE I DOPUNE PLANA 2025</t>
  </si>
  <si>
    <t>1.. IZMJENE I DOPUNE
2025</t>
  </si>
  <si>
    <t>2. IZMJENE I DOPUNE
2025</t>
  </si>
  <si>
    <t>1. IZMJENE I DOPUNE
2025</t>
  </si>
  <si>
    <t>ISTARSKO VELEUČILIŠTE
FINANCIJSKI PLAN 
ZA 2025. GODINU - prijedlog 2. Izmjena i dopuna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</si>
</sst>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</font>
    <font>
      <i/>
      <sz val="11"/>
      <color theme="1"/>
      <name val="Times New Roman"/>
      <family val="1"/>
    </font>
    <font>
      <sz val="10"/>
      <color theme="1"/>
      <name val="Arial"/>
      <family val="2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65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vertical="center" wrapText="1"/>
    </xf>
    <xf numFmtId="0" fontId="6" fillId="0" borderId="0" xfId="2" applyNumberFormat="1" applyFont="1" applyFill="1" applyBorder="1" applyAlignment="1" applyProtection="1">
      <alignment horizontal="left" wrapText="1"/>
    </xf>
    <xf numFmtId="0" fontId="10" fillId="0" borderId="0" xfId="2" applyNumberFormat="1" applyFont="1" applyFill="1" applyBorder="1" applyAlignment="1" applyProtection="1">
      <alignment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Fill="1" applyBorder="1" applyAlignment="1" applyProtection="1">
      <alignment horizontal="right" wrapText="1"/>
    </xf>
    <xf numFmtId="3" fontId="13" fillId="0" borderId="4" xfId="2" applyNumberFormat="1" applyFont="1" applyBorder="1" applyAlignment="1">
      <alignment horizontal="right"/>
    </xf>
    <xf numFmtId="0" fontId="10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/>
    <xf numFmtId="0" fontId="6" fillId="0" borderId="0" xfId="2" quotePrefix="1" applyNumberFormat="1" applyFont="1" applyFill="1" applyBorder="1" applyAlignment="1" applyProtection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 applyProtection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NumberFormat="1" applyFont="1" applyFill="1" applyBorder="1" applyAlignment="1" applyProtection="1">
      <alignment vertical="center"/>
    </xf>
    <xf numFmtId="0" fontId="6" fillId="0" borderId="0" xfId="3" applyNumberFormat="1" applyFont="1" applyFill="1" applyBorder="1" applyAlignment="1" applyProtection="1">
      <alignment horizontal="center" vertical="center" wrapText="1"/>
    </xf>
    <xf numFmtId="0" fontId="4" fillId="0" borderId="0" xfId="3" applyFont="1"/>
    <xf numFmtId="0" fontId="8" fillId="0" borderId="0" xfId="3" applyNumberFormat="1" applyFont="1" applyFill="1" applyBorder="1" applyAlignment="1" applyProtection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NumberFormat="1" applyFont="1" applyFill="1" applyBorder="1" applyAlignment="1" applyProtection="1">
      <alignment horizontal="center" vertical="center" wrapText="1"/>
    </xf>
    <xf numFmtId="0" fontId="13" fillId="3" borderId="5" xfId="3" applyNumberFormat="1" applyFont="1" applyFill="1" applyBorder="1" applyAlignment="1" applyProtection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 applyFill="1"/>
    <xf numFmtId="0" fontId="15" fillId="2" borderId="4" xfId="3" applyNumberFormat="1" applyFont="1" applyFill="1" applyBorder="1" applyAlignment="1" applyProtection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NumberFormat="1" applyFont="1" applyFill="1" applyBorder="1" applyAlignment="1" applyProtection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15" fillId="2" borderId="4" xfId="3" applyNumberFormat="1" applyFont="1" applyFill="1" applyBorder="1" applyAlignment="1" applyProtection="1">
      <alignment vertical="center" wrapText="1"/>
    </xf>
    <xf numFmtId="0" fontId="16" fillId="2" borderId="4" xfId="3" applyNumberFormat="1" applyFont="1" applyFill="1" applyBorder="1" applyAlignment="1" applyProtection="1">
      <alignment vertical="center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NumberFormat="1" applyFont="1" applyFill="1" applyBorder="1" applyAlignment="1" applyProtection="1">
      <alignment horizontal="left" vertical="center" wrapText="1" indent="1"/>
    </xf>
    <xf numFmtId="0" fontId="16" fillId="2" borderId="4" xfId="3" applyNumberFormat="1" applyFont="1" applyFill="1" applyBorder="1" applyAlignment="1" applyProtection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NumberFormat="1" applyFont="1" applyFill="1" applyBorder="1" applyAlignment="1" applyProtection="1">
      <alignment vertical="center" wrapText="1"/>
    </xf>
    <xf numFmtId="49" fontId="15" fillId="2" borderId="4" xfId="3" applyNumberFormat="1" applyFont="1" applyFill="1" applyBorder="1" applyAlignment="1" applyProtection="1">
      <alignment horizontal="left" vertical="center" wrapText="1"/>
    </xf>
    <xf numFmtId="49" fontId="16" fillId="2" borderId="4" xfId="3" applyNumberFormat="1" applyFont="1" applyFill="1" applyBorder="1" applyAlignment="1" applyProtection="1">
      <alignment horizontal="left" vertical="center" wrapText="1" indent="2"/>
    </xf>
    <xf numFmtId="0" fontId="5" fillId="0" borderId="0" xfId="3" applyNumberFormat="1" applyFont="1" applyFill="1" applyBorder="1" applyAlignment="1" applyProtection="1">
      <alignment horizontal="left" vertical="center"/>
    </xf>
    <xf numFmtId="0" fontId="4" fillId="0" borderId="4" xfId="3" applyFont="1" applyBorder="1"/>
    <xf numFmtId="0" fontId="4" fillId="0" borderId="0" xfId="3" applyFont="1" applyAlignment="1">
      <alignment horizontal="left" indent="1"/>
    </xf>
    <xf numFmtId="0" fontId="23" fillId="2" borderId="4" xfId="3" applyNumberFormat="1" applyFont="1" applyFill="1" applyBorder="1" applyAlignment="1" applyProtection="1">
      <alignment horizontal="left" vertical="center" wrapText="1"/>
    </xf>
    <xf numFmtId="0" fontId="23" fillId="2" borderId="4" xfId="3" applyNumberFormat="1" applyFont="1" applyFill="1" applyBorder="1" applyAlignment="1" applyProtection="1">
      <alignment horizontal="left" vertical="center" wrapText="1" indent="3"/>
    </xf>
    <xf numFmtId="0" fontId="8" fillId="2" borderId="4" xfId="0" applyNumberFormat="1" applyFont="1" applyFill="1" applyBorder="1" applyAlignment="1" applyProtection="1">
      <alignment horizontal="left" vertical="center" wrapText="1" indent="6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 indent="7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NumberFormat="1" applyFont="1" applyFill="1" applyBorder="1" applyAlignment="1" applyProtection="1">
      <alignment horizontal="center" vertical="center" wrapText="1"/>
    </xf>
    <xf numFmtId="0" fontId="23" fillId="2" borderId="4" xfId="3" applyNumberFormat="1" applyFont="1" applyFill="1" applyBorder="1" applyAlignment="1" applyProtection="1">
      <alignment horizontal="left" vertical="center" wrapText="1" indent="4"/>
    </xf>
    <xf numFmtId="0" fontId="4" fillId="0" borderId="4" xfId="3" applyFont="1" applyBorder="1" applyAlignment="1">
      <alignment horizontal="center"/>
    </xf>
    <xf numFmtId="0" fontId="26" fillId="2" borderId="4" xfId="3" applyNumberFormat="1" applyFont="1" applyFill="1" applyBorder="1" applyAlignment="1" applyProtection="1">
      <alignment horizontal="left" vertical="center" wrapText="1" indent="3"/>
    </xf>
    <xf numFmtId="0" fontId="26" fillId="2" borderId="4" xfId="3" applyNumberFormat="1" applyFont="1" applyFill="1" applyBorder="1" applyAlignment="1" applyProtection="1">
      <alignment horizontal="left" vertical="center" wrapText="1"/>
    </xf>
    <xf numFmtId="0" fontId="27" fillId="0" borderId="0" xfId="3" applyFont="1"/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25" fillId="5" borderId="4" xfId="3" applyNumberFormat="1" applyFont="1" applyFill="1" applyBorder="1" applyAlignment="1" applyProtection="1">
      <alignment horizontal="left" vertical="center" wrapText="1" indent="2"/>
    </xf>
    <xf numFmtId="0" fontId="25" fillId="5" borderId="4" xfId="3" applyNumberFormat="1" applyFont="1" applyFill="1" applyBorder="1" applyAlignment="1" applyProtection="1">
      <alignment horizontal="left" vertical="center" wrapText="1"/>
    </xf>
    <xf numFmtId="0" fontId="25" fillId="6" borderId="4" xfId="3" applyNumberFormat="1" applyFont="1" applyFill="1" applyBorder="1" applyAlignment="1" applyProtection="1">
      <alignment horizontal="left" vertical="center" wrapText="1" indent="1"/>
    </xf>
    <xf numFmtId="0" fontId="25" fillId="6" borderId="4" xfId="3" applyNumberFormat="1" applyFont="1" applyFill="1" applyBorder="1" applyAlignment="1" applyProtection="1">
      <alignment horizontal="left" vertical="center" wrapText="1"/>
    </xf>
    <xf numFmtId="0" fontId="25" fillId="7" borderId="4" xfId="3" applyNumberFormat="1" applyFont="1" applyFill="1" applyBorder="1" applyAlignment="1" applyProtection="1">
      <alignment horizontal="left" vertical="center" wrapText="1"/>
    </xf>
    <xf numFmtId="0" fontId="24" fillId="8" borderId="4" xfId="3" applyNumberFormat="1" applyFont="1" applyFill="1" applyBorder="1" applyAlignment="1" applyProtection="1">
      <alignment horizontal="left" vertical="top" wrapText="1"/>
    </xf>
    <xf numFmtId="0" fontId="24" fillId="8" borderId="4" xfId="3" applyNumberFormat="1" applyFont="1" applyFill="1" applyBorder="1" applyAlignment="1" applyProtection="1">
      <alignment horizontal="left" vertical="center" wrapText="1"/>
    </xf>
    <xf numFmtId="4" fontId="6" fillId="0" borderId="0" xfId="3" applyNumberFormat="1" applyFont="1" applyFill="1" applyBorder="1" applyAlignment="1" applyProtection="1">
      <alignment horizontal="center" vertical="center" wrapText="1"/>
    </xf>
    <xf numFmtId="4" fontId="8" fillId="0" borderId="0" xfId="3" applyNumberFormat="1" applyFont="1" applyFill="1" applyBorder="1" applyAlignment="1" applyProtection="1">
      <alignment vertical="center" wrapText="1"/>
    </xf>
    <xf numFmtId="4" fontId="13" fillId="3" borderId="4" xfId="3" quotePrefix="1" applyNumberFormat="1" applyFont="1" applyFill="1" applyBorder="1" applyAlignment="1">
      <alignment horizontal="center" vertical="center" wrapText="1"/>
    </xf>
    <xf numFmtId="4" fontId="13" fillId="3" borderId="4" xfId="3" applyNumberFormat="1" applyFont="1" applyFill="1" applyBorder="1" applyAlignment="1" applyProtection="1">
      <alignment horizontal="center" vertical="center" wrapText="1"/>
    </xf>
    <xf numFmtId="4" fontId="14" fillId="3" borderId="4" xfId="3" quotePrefix="1" applyNumberFormat="1" applyFont="1" applyFill="1" applyBorder="1" applyAlignment="1">
      <alignment horizontal="center" vertical="center" wrapText="1"/>
    </xf>
    <xf numFmtId="4" fontId="24" fillId="7" borderId="4" xfId="3" applyNumberFormat="1" applyFont="1" applyFill="1" applyBorder="1" applyAlignment="1">
      <alignment horizontal="left"/>
    </xf>
    <xf numFmtId="4" fontId="24" fillId="6" borderId="4" xfId="3" applyNumberFormat="1" applyFont="1" applyFill="1" applyBorder="1" applyAlignment="1">
      <alignment horizontal="left"/>
    </xf>
    <xf numFmtId="4" fontId="24" fillId="5" borderId="4" xfId="3" applyNumberFormat="1" applyFont="1" applyFill="1" applyBorder="1" applyAlignment="1">
      <alignment horizontal="left"/>
    </xf>
    <xf numFmtId="4" fontId="24" fillId="8" borderId="4" xfId="3" applyNumberFormat="1" applyFont="1" applyFill="1" applyBorder="1" applyAlignment="1">
      <alignment horizontal="left" vertical="top"/>
    </xf>
    <xf numFmtId="4" fontId="26" fillId="2" borderId="4" xfId="3" applyNumberFormat="1" applyFont="1" applyFill="1" applyBorder="1" applyAlignment="1">
      <alignment horizontal="right"/>
    </xf>
    <xf numFmtId="4" fontId="8" fillId="2" borderId="4" xfId="3" applyNumberFormat="1" applyFont="1" applyFill="1" applyBorder="1" applyAlignment="1">
      <alignment horizontal="right"/>
    </xf>
    <xf numFmtId="4" fontId="8" fillId="2" borderId="4" xfId="3" applyNumberFormat="1" applyFont="1" applyFill="1" applyBorder="1" applyAlignment="1" applyProtection="1">
      <alignment horizontal="right" wrapText="1"/>
    </xf>
    <xf numFmtId="4" fontId="24" fillId="8" borderId="4" xfId="3" applyNumberFormat="1" applyFont="1" applyFill="1" applyBorder="1" applyAlignment="1">
      <alignment horizontal="left"/>
    </xf>
    <xf numFmtId="4" fontId="4" fillId="0" borderId="0" xfId="3" applyNumberFormat="1" applyFont="1"/>
    <xf numFmtId="4" fontId="8" fillId="2" borderId="4" xfId="3" applyNumberFormat="1" applyFont="1" applyFill="1" applyBorder="1" applyAlignment="1">
      <alignment horizontal="right" indent="1"/>
    </xf>
    <xf numFmtId="4" fontId="8" fillId="0" borderId="4" xfId="3" applyNumberFormat="1" applyFont="1" applyFill="1" applyBorder="1" applyAlignment="1">
      <alignment horizontal="right"/>
    </xf>
    <xf numFmtId="0" fontId="15" fillId="7" borderId="4" xfId="3" applyNumberFormat="1" applyFont="1" applyFill="1" applyBorder="1" applyAlignment="1" applyProtection="1">
      <alignment horizontal="left" vertical="center" wrapText="1"/>
    </xf>
    <xf numFmtId="0" fontId="16" fillId="6" borderId="4" xfId="3" applyNumberFormat="1" applyFont="1" applyFill="1" applyBorder="1" applyAlignment="1" applyProtection="1">
      <alignment horizontal="left" vertical="center" wrapText="1" indent="2"/>
    </xf>
    <xf numFmtId="0" fontId="16" fillId="6" borderId="4" xfId="3" applyNumberFormat="1" applyFont="1" applyFill="1" applyBorder="1" applyAlignment="1" applyProtection="1">
      <alignment horizontal="left" vertical="center" wrapText="1"/>
    </xf>
    <xf numFmtId="0" fontId="16" fillId="8" borderId="4" xfId="3" applyNumberFormat="1" applyFont="1" applyFill="1" applyBorder="1" applyAlignment="1" applyProtection="1">
      <alignment horizontal="left" vertical="center" wrapText="1" indent="2"/>
    </xf>
    <xf numFmtId="0" fontId="16" fillId="8" borderId="4" xfId="3" applyNumberFormat="1" applyFont="1" applyFill="1" applyBorder="1" applyAlignment="1" applyProtection="1">
      <alignment horizontal="left" vertical="center" wrapText="1"/>
    </xf>
    <xf numFmtId="4" fontId="8" fillId="6" borderId="4" xfId="3" applyNumberFormat="1" applyFont="1" applyFill="1" applyBorder="1" applyAlignment="1">
      <alignment horizontal="right"/>
    </xf>
    <xf numFmtId="4" fontId="8" fillId="8" borderId="4" xfId="3" applyNumberFormat="1" applyFont="1" applyFill="1" applyBorder="1" applyAlignment="1">
      <alignment horizontal="right"/>
    </xf>
    <xf numFmtId="4" fontId="16" fillId="2" borderId="4" xfId="3" applyNumberFormat="1" applyFont="1" applyFill="1" applyBorder="1" applyAlignment="1" applyProtection="1">
      <alignment horizontal="right" vertical="center" wrapText="1"/>
    </xf>
    <xf numFmtId="4" fontId="28" fillId="0" borderId="4" xfId="0" applyNumberFormat="1" applyFont="1" applyBorder="1"/>
    <xf numFmtId="4" fontId="6" fillId="0" borderId="0" xfId="3" applyNumberFormat="1" applyFont="1" applyFill="1" applyBorder="1" applyAlignment="1" applyProtection="1">
      <alignment horizontal="right" vertical="center" wrapText="1"/>
    </xf>
    <xf numFmtId="4" fontId="28" fillId="2" borderId="4" xfId="0" applyNumberFormat="1" applyFont="1" applyFill="1" applyBorder="1"/>
    <xf numFmtId="4" fontId="16" fillId="2" borderId="4" xfId="3" quotePrefix="1" applyNumberFormat="1" applyFont="1" applyFill="1" applyBorder="1" applyAlignment="1">
      <alignment horizontal="right" vertical="center"/>
    </xf>
    <xf numFmtId="0" fontId="14" fillId="0" borderId="4" xfId="3" quotePrefix="1" applyFont="1" applyBorder="1" applyAlignment="1">
      <alignment horizontal="center" vertical="center" wrapText="1"/>
    </xf>
    <xf numFmtId="0" fontId="9" fillId="0" borderId="0" xfId="2" applyFont="1" applyAlignment="1">
      <alignment wrapText="1"/>
    </xf>
    <xf numFmtId="4" fontId="16" fillId="2" borderId="4" xfId="3" quotePrefix="1" applyNumberFormat="1" applyFont="1" applyFill="1" applyBorder="1" applyAlignment="1">
      <alignment horizontal="right" vertical="center" wrapText="1"/>
    </xf>
    <xf numFmtId="4" fontId="15" fillId="2" borderId="4" xfId="3" applyNumberFormat="1" applyFont="1" applyFill="1" applyBorder="1" applyAlignment="1" applyProtection="1">
      <alignment horizontal="right" vertical="center" wrapText="1"/>
    </xf>
    <xf numFmtId="4" fontId="13" fillId="3" borderId="4" xfId="2" applyNumberFormat="1" applyFont="1" applyFill="1" applyBorder="1" applyAlignment="1">
      <alignment horizontal="right"/>
    </xf>
    <xf numFmtId="4" fontId="13" fillId="0" borderId="4" xfId="2" applyNumberFormat="1" applyFont="1" applyFill="1" applyBorder="1" applyAlignment="1">
      <alignment horizontal="right"/>
    </xf>
    <xf numFmtId="4" fontId="13" fillId="0" borderId="4" xfId="2" applyNumberFormat="1" applyFont="1" applyBorder="1" applyAlignment="1">
      <alignment horizontal="right"/>
    </xf>
    <xf numFmtId="4" fontId="29" fillId="7" borderId="4" xfId="3" applyNumberFormat="1" applyFont="1" applyFill="1" applyBorder="1" applyAlignment="1">
      <alignment horizontal="right"/>
    </xf>
    <xf numFmtId="4" fontId="14" fillId="3" borderId="4" xfId="3" quotePrefix="1" applyNumberFormat="1" applyFont="1" applyFill="1" applyBorder="1" applyAlignment="1">
      <alignment horizontal="right" vertical="center" wrapText="1"/>
    </xf>
    <xf numFmtId="4" fontId="4" fillId="0" borderId="0" xfId="3" applyNumberFormat="1" applyFont="1" applyAlignment="1">
      <alignment horizontal="right"/>
    </xf>
    <xf numFmtId="0" fontId="30" fillId="2" borderId="4" xfId="3" applyNumberFormat="1" applyFont="1" applyFill="1" applyBorder="1" applyAlignment="1" applyProtection="1">
      <alignment horizontal="left" vertical="center" wrapText="1"/>
    </xf>
    <xf numFmtId="3" fontId="14" fillId="3" borderId="4" xfId="3" quotePrefix="1" applyNumberFormat="1" applyFont="1" applyFill="1" applyBorder="1" applyAlignment="1">
      <alignment horizontal="center" vertical="center" wrapText="1"/>
    </xf>
    <xf numFmtId="3" fontId="24" fillId="7" borderId="4" xfId="3" applyNumberFormat="1" applyFont="1" applyFill="1" applyBorder="1" applyAlignment="1">
      <alignment horizontal="left"/>
    </xf>
    <xf numFmtId="3" fontId="24" fillId="6" borderId="4" xfId="3" applyNumberFormat="1" applyFont="1" applyFill="1" applyBorder="1" applyAlignment="1">
      <alignment horizontal="left"/>
    </xf>
    <xf numFmtId="3" fontId="24" fillId="5" borderId="4" xfId="3" applyNumberFormat="1" applyFont="1" applyFill="1" applyBorder="1" applyAlignment="1">
      <alignment horizontal="left"/>
    </xf>
    <xf numFmtId="3" fontId="24" fillId="8" borderId="4" xfId="3" applyNumberFormat="1" applyFont="1" applyFill="1" applyBorder="1" applyAlignment="1">
      <alignment horizontal="left" vertical="top"/>
    </xf>
    <xf numFmtId="3" fontId="26" fillId="2" borderId="4" xfId="3" applyNumberFormat="1" applyFont="1" applyFill="1" applyBorder="1" applyAlignment="1">
      <alignment horizontal="right"/>
    </xf>
    <xf numFmtId="4" fontId="31" fillId="2" borderId="4" xfId="0" applyNumberFormat="1" applyFont="1" applyFill="1" applyBorder="1" applyAlignment="1">
      <alignment horizontal="right"/>
    </xf>
    <xf numFmtId="4" fontId="0" fillId="0" borderId="0" xfId="0" applyNumberFormat="1"/>
    <xf numFmtId="4" fontId="31" fillId="2" borderId="4" xfId="3" applyNumberFormat="1" applyFont="1" applyFill="1" applyBorder="1" applyAlignment="1">
      <alignment horizontal="right"/>
    </xf>
    <xf numFmtId="3" fontId="15" fillId="2" borderId="4" xfId="3" applyNumberFormat="1" applyFont="1" applyFill="1" applyBorder="1" applyAlignment="1" applyProtection="1">
      <alignment horizontal="right" vertical="center" wrapText="1"/>
    </xf>
    <xf numFmtId="1" fontId="14" fillId="3" borderId="4" xfId="3" quotePrefix="1" applyNumberFormat="1" applyFont="1" applyFill="1" applyBorder="1" applyAlignment="1">
      <alignment horizontal="center" vertical="center" wrapText="1"/>
    </xf>
    <xf numFmtId="3" fontId="29" fillId="7" borderId="4" xfId="3" applyNumberFormat="1" applyFont="1" applyFill="1" applyBorder="1" applyAlignment="1">
      <alignment horizontal="right"/>
    </xf>
    <xf numFmtId="3" fontId="8" fillId="6" borderId="4" xfId="3" applyNumberFormat="1" applyFont="1" applyFill="1" applyBorder="1" applyAlignment="1">
      <alignment horizontal="right"/>
    </xf>
    <xf numFmtId="3" fontId="8" fillId="8" borderId="4" xfId="3" applyNumberFormat="1" applyFont="1" applyFill="1" applyBorder="1" applyAlignment="1">
      <alignment horizontal="right"/>
    </xf>
    <xf numFmtId="0" fontId="15" fillId="0" borderId="4" xfId="3" applyNumberFormat="1" applyFont="1" applyFill="1" applyBorder="1" applyAlignment="1" applyProtection="1">
      <alignment horizontal="left" vertical="center" wrapText="1"/>
    </xf>
    <xf numFmtId="0" fontId="16" fillId="0" borderId="4" xfId="3" quotePrefix="1" applyFont="1" applyFill="1" applyBorder="1" applyAlignment="1">
      <alignment horizontal="left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NumberFormat="1" applyFont="1" applyFill="1" applyBorder="1" applyAlignment="1" applyProtection="1">
      <alignment horizontal="left" vertical="center" wrapText="1"/>
    </xf>
    <xf numFmtId="0" fontId="15" fillId="4" borderId="3" xfId="2" applyNumberFormat="1" applyFont="1" applyFill="1" applyBorder="1" applyAlignment="1" applyProtection="1">
      <alignment horizontal="left" vertical="center" wrapText="1"/>
    </xf>
    <xf numFmtId="0" fontId="15" fillId="4" borderId="5" xfId="2" applyNumberFormat="1" applyFont="1" applyFill="1" applyBorder="1" applyAlignment="1" applyProtection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5" fillId="3" borderId="2" xfId="2" quotePrefix="1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5" fillId="3" borderId="2" xfId="2" applyNumberFormat="1" applyFont="1" applyFill="1" applyBorder="1" applyAlignment="1" applyProtection="1">
      <alignment horizontal="left" vertical="center" wrapText="1"/>
    </xf>
    <xf numFmtId="0" fontId="15" fillId="3" borderId="3" xfId="2" applyNumberFormat="1" applyFont="1" applyFill="1" applyBorder="1" applyAlignment="1" applyProtection="1">
      <alignment horizontal="left" vertical="center" wrapText="1"/>
    </xf>
    <xf numFmtId="0" fontId="15" fillId="3" borderId="5" xfId="2" applyNumberFormat="1" applyFont="1" applyFill="1" applyBorder="1" applyAlignment="1" applyProtection="1">
      <alignment horizontal="left" vertical="center" wrapText="1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7" fillId="0" borderId="0" xfId="2" applyNumberFormat="1" applyFont="1" applyFill="1" applyBorder="1" applyAlignment="1" applyProtection="1">
      <alignment vertical="center" wrapText="1"/>
    </xf>
    <xf numFmtId="0" fontId="9" fillId="0" borderId="0" xfId="2" applyFont="1" applyAlignment="1">
      <alignment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16" fillId="3" borderId="3" xfId="2" applyNumberFormat="1" applyFont="1" applyFill="1" applyBorder="1" applyAlignment="1" applyProtection="1">
      <alignment vertical="center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NumberFormat="1" applyFont="1" applyFill="1" applyBorder="1" applyAlignment="1" applyProtection="1">
      <alignment vertical="center"/>
    </xf>
    <xf numFmtId="0" fontId="15" fillId="0" borderId="2" xfId="2" applyNumberFormat="1" applyFont="1" applyFill="1" applyBorder="1" applyAlignment="1" applyProtection="1">
      <alignment horizontal="left" vertical="center" wrapText="1"/>
    </xf>
    <xf numFmtId="0" fontId="16" fillId="0" borderId="3" xfId="2" applyNumberFormat="1" applyFont="1" applyFill="1" applyBorder="1" applyAlignment="1" applyProtection="1">
      <alignment vertical="center" wrapText="1"/>
    </xf>
    <xf numFmtId="0" fontId="15" fillId="0" borderId="2" xfId="2" quotePrefix="1" applyFont="1" applyFill="1" applyBorder="1" applyAlignment="1">
      <alignment horizontal="left" vertical="center"/>
    </xf>
    <xf numFmtId="0" fontId="15" fillId="0" borderId="2" xfId="2" quotePrefix="1" applyNumberFormat="1" applyFont="1" applyFill="1" applyBorder="1" applyAlignment="1" applyProtection="1">
      <alignment horizontal="left" vertical="center" wrapText="1"/>
    </xf>
    <xf numFmtId="0" fontId="5" fillId="0" borderId="0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Alignment="1">
      <alignment wrapText="1"/>
    </xf>
  </cellXfs>
  <cellStyles count="4">
    <cellStyle name="Normal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zoomScale="85" zoomScaleNormal="85" workbookViewId="0">
      <selection activeCell="A2" sqref="A2:K2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6" width="19.42578125" style="1" hidden="1" customWidth="1"/>
    <col min="7" max="11" width="19.42578125" style="1" customWidth="1"/>
    <col min="12" max="12" width="15" style="1" customWidth="1"/>
    <col min="13" max="13" width="25.28515625" style="1" customWidth="1"/>
    <col min="14" max="16384" width="8.85546875" style="1"/>
  </cols>
  <sheetData>
    <row r="1" spans="1:12" ht="15.75" x14ac:dyDescent="0.25">
      <c r="A1" s="56"/>
    </row>
    <row r="2" spans="1:12" s="2" customFormat="1" ht="51" customHeight="1" x14ac:dyDescent="0.25">
      <c r="A2" s="151" t="s">
        <v>298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2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s="2" customFormat="1" ht="15.75" x14ac:dyDescent="0.25">
      <c r="A4" s="151" t="s">
        <v>0</v>
      </c>
      <c r="B4" s="151"/>
      <c r="C4" s="151"/>
      <c r="D4" s="151"/>
      <c r="E4" s="151"/>
      <c r="F4" s="151"/>
      <c r="G4" s="151"/>
      <c r="H4" s="151"/>
      <c r="I4" s="151"/>
      <c r="J4" s="152"/>
      <c r="K4" s="152"/>
    </row>
    <row r="5" spans="1:12" s="2" customFormat="1" ht="18.75" x14ac:dyDescent="0.25">
      <c r="A5" s="3"/>
      <c r="B5" s="3"/>
      <c r="C5" s="3"/>
      <c r="D5" s="3"/>
      <c r="E5" s="3"/>
      <c r="F5" s="3"/>
      <c r="G5" s="3"/>
      <c r="H5" s="3"/>
      <c r="I5" s="3"/>
      <c r="J5" s="4"/>
      <c r="K5" s="4"/>
    </row>
    <row r="6" spans="1:12" s="2" customFormat="1" ht="18" customHeight="1" x14ac:dyDescent="0.25">
      <c r="A6" s="151" t="s">
        <v>14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</row>
    <row r="7" spans="1:12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8"/>
      <c r="K7" s="9"/>
    </row>
    <row r="8" spans="1:12" s="2" customFormat="1" ht="52.5" customHeight="1" x14ac:dyDescent="0.25">
      <c r="A8" s="154" t="s">
        <v>12</v>
      </c>
      <c r="B8" s="155"/>
      <c r="C8" s="155"/>
      <c r="D8" s="155"/>
      <c r="E8" s="155"/>
      <c r="F8" s="64" t="s">
        <v>73</v>
      </c>
      <c r="G8" s="64" t="s">
        <v>285</v>
      </c>
      <c r="H8" s="64" t="s">
        <v>293</v>
      </c>
      <c r="I8" s="65" t="s">
        <v>286</v>
      </c>
      <c r="J8" s="64" t="s">
        <v>294</v>
      </c>
      <c r="K8" s="65" t="s">
        <v>286</v>
      </c>
      <c r="L8" s="65" t="s">
        <v>287</v>
      </c>
    </row>
    <row r="9" spans="1:12" s="32" customFormat="1" ht="12" customHeight="1" x14ac:dyDescent="0.25">
      <c r="A9" s="146">
        <v>1</v>
      </c>
      <c r="B9" s="146"/>
      <c r="C9" s="146"/>
      <c r="D9" s="146"/>
      <c r="E9" s="146"/>
      <c r="F9" s="66">
        <v>2</v>
      </c>
      <c r="G9" s="109">
        <v>3</v>
      </c>
      <c r="H9" s="66">
        <v>4</v>
      </c>
      <c r="I9" s="67">
        <v>5</v>
      </c>
      <c r="J9" s="67">
        <v>6</v>
      </c>
      <c r="K9" s="67">
        <v>7</v>
      </c>
      <c r="L9" s="67">
        <v>8</v>
      </c>
    </row>
    <row r="10" spans="1:12" s="2" customFormat="1" x14ac:dyDescent="0.25">
      <c r="A10" s="147" t="s">
        <v>3</v>
      </c>
      <c r="B10" s="145"/>
      <c r="C10" s="145"/>
      <c r="D10" s="145"/>
      <c r="E10" s="156"/>
      <c r="F10" s="113">
        <f>F11+F12</f>
        <v>1451328.32</v>
      </c>
      <c r="G10" s="113">
        <f t="shared" ref="G10:K10" si="0">G11+G12</f>
        <v>1660647</v>
      </c>
      <c r="H10" s="113">
        <f t="shared" si="0"/>
        <v>11019646.880000001</v>
      </c>
      <c r="I10" s="113">
        <f t="shared" si="0"/>
        <v>9358999.8800000008</v>
      </c>
      <c r="J10" s="113">
        <f t="shared" si="0"/>
        <v>2502057</v>
      </c>
      <c r="K10" s="113">
        <f t="shared" si="0"/>
        <v>-8517589.8800000008</v>
      </c>
      <c r="L10" s="113">
        <f t="shared" ref="L10" si="1">L11+L12</f>
        <v>22.705419032447253</v>
      </c>
    </row>
    <row r="11" spans="1:12" s="2" customFormat="1" x14ac:dyDescent="0.25">
      <c r="A11" s="159" t="s">
        <v>1</v>
      </c>
      <c r="B11" s="160"/>
      <c r="C11" s="160"/>
      <c r="D11" s="160"/>
      <c r="E11" s="158"/>
      <c r="F11" s="114">
        <f>' Račun prihoda i rashoda'!C9</f>
        <v>1451328.32</v>
      </c>
      <c r="G11" s="114">
        <v>1660647</v>
      </c>
      <c r="H11" s="114">
        <f>' Račun prihoda i rashoda'!E9</f>
        <v>11019646.880000001</v>
      </c>
      <c r="I11" s="114">
        <f>H11-G11</f>
        <v>9358999.8800000008</v>
      </c>
      <c r="J11" s="114">
        <f>' Račun prihoda i rashoda'!G9</f>
        <v>2502057</v>
      </c>
      <c r="K11" s="114">
        <f>J11-H11</f>
        <v>-8517589.8800000008</v>
      </c>
      <c r="L11" s="114">
        <f>' Račun prihoda i rashoda'!I9</f>
        <v>22.705419032447253</v>
      </c>
    </row>
    <row r="12" spans="1:12" s="2" customFormat="1" x14ac:dyDescent="0.25">
      <c r="A12" s="161" t="s">
        <v>2</v>
      </c>
      <c r="B12" s="158"/>
      <c r="C12" s="158"/>
      <c r="D12" s="158"/>
      <c r="E12" s="158"/>
      <c r="F12" s="114"/>
      <c r="G12" s="114"/>
      <c r="H12" s="114"/>
      <c r="I12" s="114">
        <f>H12-G12</f>
        <v>0</v>
      </c>
      <c r="J12" s="114">
        <v>0</v>
      </c>
      <c r="K12" s="114">
        <f>J12-H12</f>
        <v>0</v>
      </c>
      <c r="L12" s="114">
        <v>0</v>
      </c>
    </row>
    <row r="13" spans="1:12" s="2" customFormat="1" x14ac:dyDescent="0.25">
      <c r="A13" s="11" t="s">
        <v>6</v>
      </c>
      <c r="B13" s="30"/>
      <c r="C13" s="30"/>
      <c r="D13" s="30"/>
      <c r="E13" s="30"/>
      <c r="F13" s="113">
        <f>F14+F15</f>
        <v>1389265.32</v>
      </c>
      <c r="G13" s="113">
        <f t="shared" ref="G13:K13" si="2">G14+G15</f>
        <v>1660647</v>
      </c>
      <c r="H13" s="113">
        <f t="shared" si="2"/>
        <v>11019646.879999999</v>
      </c>
      <c r="I13" s="113">
        <f t="shared" si="2"/>
        <v>9358999.879999999</v>
      </c>
      <c r="J13" s="113">
        <f t="shared" si="2"/>
        <v>2472633.91</v>
      </c>
      <c r="K13" s="113">
        <f t="shared" si="2"/>
        <v>-8547012.9699999988</v>
      </c>
      <c r="L13" s="113">
        <f t="shared" ref="L13" si="3">L14+L15</f>
        <v>100.12160591647677</v>
      </c>
    </row>
    <row r="14" spans="1:12" s="2" customFormat="1" x14ac:dyDescent="0.25">
      <c r="A14" s="162" t="s">
        <v>4</v>
      </c>
      <c r="B14" s="160"/>
      <c r="C14" s="160"/>
      <c r="D14" s="160"/>
      <c r="E14" s="160"/>
      <c r="F14" s="114">
        <f>' Račun prihoda i rashoda'!C46</f>
        <v>1316528.32</v>
      </c>
      <c r="G14" s="114">
        <v>1515381.36</v>
      </c>
      <c r="H14" s="114">
        <f>' Račun prihoda i rashoda'!E46</f>
        <v>1818492.46</v>
      </c>
      <c r="I14" s="114">
        <f>H14-G14</f>
        <v>303111.09999999986</v>
      </c>
      <c r="J14" s="114">
        <f>' Račun prihoda i rashoda'!G46</f>
        <v>1660120.87</v>
      </c>
      <c r="K14" s="114">
        <f>J14-H14</f>
        <v>-158371.58999999985</v>
      </c>
      <c r="L14" s="114">
        <f>' Račun prihoda i rashoda'!I46</f>
        <v>91.291050500148913</v>
      </c>
    </row>
    <row r="15" spans="1:12" s="2" customFormat="1" x14ac:dyDescent="0.25">
      <c r="A15" s="157" t="s">
        <v>5</v>
      </c>
      <c r="B15" s="158"/>
      <c r="C15" s="158"/>
      <c r="D15" s="158"/>
      <c r="E15" s="158"/>
      <c r="F15" s="115">
        <f>' Račun prihoda i rashoda'!C98</f>
        <v>72737</v>
      </c>
      <c r="G15" s="115">
        <v>145265.64000000001</v>
      </c>
      <c r="H15" s="115">
        <f>' Račun prihoda i rashoda'!E98</f>
        <v>9201154.4199999999</v>
      </c>
      <c r="I15" s="114">
        <f>H15-G15</f>
        <v>9055888.7799999993</v>
      </c>
      <c r="J15" s="115">
        <f>' Račun prihoda i rashoda'!G98</f>
        <v>812513.04</v>
      </c>
      <c r="K15" s="114">
        <f>J15-H15</f>
        <v>-8388641.379999999</v>
      </c>
      <c r="L15" s="115">
        <f>' Račun prihoda i rashoda'!I98</f>
        <v>8.8305554163278579</v>
      </c>
    </row>
    <row r="16" spans="1:12" s="2" customFormat="1" x14ac:dyDescent="0.25">
      <c r="A16" s="144" t="s">
        <v>7</v>
      </c>
      <c r="B16" s="145"/>
      <c r="C16" s="145"/>
      <c r="D16" s="145"/>
      <c r="E16" s="145"/>
      <c r="F16" s="113">
        <f>F10-F13</f>
        <v>62063</v>
      </c>
      <c r="G16" s="113">
        <f>G10-G13</f>
        <v>0</v>
      </c>
      <c r="H16" s="113">
        <f t="shared" ref="H16:K16" si="4">H10-H13</f>
        <v>0</v>
      </c>
      <c r="I16" s="113">
        <f t="shared" si="4"/>
        <v>0</v>
      </c>
      <c r="J16" s="113">
        <f>J10-J13</f>
        <v>29423.089999999851</v>
      </c>
      <c r="K16" s="113">
        <f t="shared" si="4"/>
        <v>29423.089999997988</v>
      </c>
      <c r="L16" s="113">
        <f t="shared" ref="L16" si="5">L10-L13</f>
        <v>-77.416186884029514</v>
      </c>
    </row>
    <row r="17" spans="1:12" s="2" customFormat="1" ht="18.75" x14ac:dyDescent="0.25">
      <c r="A17" s="3"/>
      <c r="B17" s="14"/>
      <c r="C17" s="14"/>
      <c r="D17" s="14"/>
      <c r="E17" s="14"/>
      <c r="F17" s="14"/>
      <c r="G17" s="14"/>
      <c r="H17" s="14"/>
      <c r="I17" s="15"/>
      <c r="J17" s="15"/>
      <c r="K17" s="15"/>
    </row>
    <row r="18" spans="1:12" s="2" customFormat="1" ht="18" customHeight="1" x14ac:dyDescent="0.25">
      <c r="A18" s="151" t="s">
        <v>15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</row>
    <row r="19" spans="1:12" s="2" customFormat="1" ht="18.75" x14ac:dyDescent="0.25">
      <c r="A19" s="3"/>
      <c r="B19" s="14"/>
      <c r="C19" s="14"/>
      <c r="D19" s="14"/>
      <c r="E19" s="14"/>
      <c r="F19" s="14"/>
      <c r="G19" s="14"/>
      <c r="H19" s="14"/>
      <c r="I19" s="15"/>
      <c r="J19" s="15"/>
      <c r="K19" s="15"/>
    </row>
    <row r="20" spans="1:12" s="2" customFormat="1" ht="39" customHeight="1" x14ac:dyDescent="0.25">
      <c r="A20" s="154" t="s">
        <v>12</v>
      </c>
      <c r="B20" s="155"/>
      <c r="C20" s="155"/>
      <c r="D20" s="155"/>
      <c r="E20" s="155"/>
      <c r="F20" s="64" t="s">
        <v>73</v>
      </c>
      <c r="G20" s="64" t="s">
        <v>285</v>
      </c>
      <c r="H20" s="64" t="s">
        <v>293</v>
      </c>
      <c r="I20" s="65" t="s">
        <v>286</v>
      </c>
      <c r="J20" s="64" t="s">
        <v>294</v>
      </c>
      <c r="K20" s="65" t="s">
        <v>286</v>
      </c>
      <c r="L20" s="65" t="s">
        <v>287</v>
      </c>
    </row>
    <row r="21" spans="1:12" s="32" customFormat="1" ht="12" customHeight="1" x14ac:dyDescent="0.25">
      <c r="A21" s="146">
        <v>1</v>
      </c>
      <c r="B21" s="146"/>
      <c r="C21" s="146"/>
      <c r="D21" s="146"/>
      <c r="E21" s="146"/>
      <c r="F21" s="109">
        <v>2</v>
      </c>
      <c r="G21" s="109">
        <v>3</v>
      </c>
      <c r="H21" s="109">
        <v>4</v>
      </c>
      <c r="I21" s="67">
        <v>5</v>
      </c>
      <c r="J21" s="67">
        <v>6</v>
      </c>
      <c r="K21" s="67">
        <v>7</v>
      </c>
      <c r="L21" s="67">
        <v>8</v>
      </c>
    </row>
    <row r="22" spans="1:12" s="2" customFormat="1" x14ac:dyDescent="0.25">
      <c r="A22" s="157" t="s">
        <v>8</v>
      </c>
      <c r="B22" s="158"/>
      <c r="C22" s="158"/>
      <c r="D22" s="158"/>
      <c r="E22" s="158"/>
      <c r="F22" s="13"/>
      <c r="G22" s="13"/>
      <c r="H22" s="13"/>
      <c r="I22" s="13"/>
      <c r="J22" s="13"/>
      <c r="K22" s="12"/>
      <c r="L22" s="12"/>
    </row>
    <row r="23" spans="1:12" s="2" customFormat="1" x14ac:dyDescent="0.25">
      <c r="A23" s="157" t="s">
        <v>9</v>
      </c>
      <c r="B23" s="158"/>
      <c r="C23" s="158"/>
      <c r="D23" s="158"/>
      <c r="E23" s="158"/>
      <c r="F23" s="13"/>
      <c r="G23" s="13"/>
      <c r="H23" s="13"/>
      <c r="I23" s="13"/>
      <c r="J23" s="13"/>
      <c r="K23" s="12"/>
      <c r="L23" s="12"/>
    </row>
    <row r="24" spans="1:12" s="2" customFormat="1" x14ac:dyDescent="0.25">
      <c r="A24" s="144" t="s">
        <v>10</v>
      </c>
      <c r="B24" s="145"/>
      <c r="C24" s="145"/>
      <c r="D24" s="145"/>
      <c r="E24" s="145"/>
      <c r="F24" s="10">
        <f>F22-F23</f>
        <v>0</v>
      </c>
      <c r="G24" s="10">
        <f>G22-G23</f>
        <v>0</v>
      </c>
      <c r="H24" s="10">
        <f t="shared" ref="H24:K24" si="6">H22-H23</f>
        <v>0</v>
      </c>
      <c r="I24" s="10">
        <f t="shared" si="6"/>
        <v>0</v>
      </c>
      <c r="J24" s="10">
        <f t="shared" si="6"/>
        <v>0</v>
      </c>
      <c r="K24" s="10">
        <f t="shared" si="6"/>
        <v>0</v>
      </c>
      <c r="L24" s="10"/>
    </row>
    <row r="25" spans="1:12" s="2" customFormat="1" x14ac:dyDescent="0.25">
      <c r="A25" s="144" t="s">
        <v>11</v>
      </c>
      <c r="B25" s="145"/>
      <c r="C25" s="145"/>
      <c r="D25" s="145"/>
      <c r="E25" s="145"/>
      <c r="F25" s="10">
        <f>F16+F24</f>
        <v>62063</v>
      </c>
      <c r="G25" s="10">
        <f>G16+G24</f>
        <v>0</v>
      </c>
      <c r="H25" s="10">
        <f t="shared" ref="H25:K25" si="7">H16+H24</f>
        <v>0</v>
      </c>
      <c r="I25" s="10">
        <f t="shared" si="7"/>
        <v>0</v>
      </c>
      <c r="J25" s="10">
        <f t="shared" si="7"/>
        <v>29423.089999999851</v>
      </c>
      <c r="K25" s="10">
        <f t="shared" si="7"/>
        <v>29423.089999997988</v>
      </c>
      <c r="L25" s="10"/>
    </row>
    <row r="26" spans="1:12" s="2" customFormat="1" ht="18.75" x14ac:dyDescent="0.25">
      <c r="A26" s="16"/>
      <c r="B26" s="14"/>
      <c r="C26" s="14"/>
      <c r="D26" s="14"/>
      <c r="E26" s="14"/>
      <c r="F26" s="14"/>
      <c r="G26" s="14"/>
      <c r="H26" s="14"/>
      <c r="I26" s="15"/>
      <c r="J26" s="15"/>
      <c r="K26" s="15"/>
    </row>
    <row r="27" spans="1:12" s="2" customFormat="1" ht="18" customHeight="1" x14ac:dyDescent="0.25">
      <c r="A27" s="151" t="s">
        <v>16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</row>
    <row r="28" spans="1:12" s="2" customFormat="1" ht="18" customHeight="1" x14ac:dyDescent="0.25">
      <c r="A28" s="28"/>
      <c r="B28" s="29"/>
      <c r="C28" s="29"/>
      <c r="D28" s="29"/>
      <c r="E28" s="29"/>
      <c r="F28" s="29"/>
      <c r="G28" s="110"/>
      <c r="H28" s="29"/>
      <c r="I28" s="29"/>
      <c r="J28" s="29"/>
      <c r="K28" s="29"/>
    </row>
    <row r="29" spans="1:12" s="2" customFormat="1" ht="42.75" customHeight="1" x14ac:dyDescent="0.25">
      <c r="A29" s="136" t="s">
        <v>22</v>
      </c>
      <c r="B29" s="137"/>
      <c r="C29" s="137"/>
      <c r="D29" s="137"/>
      <c r="E29" s="138"/>
      <c r="F29" s="64" t="s">
        <v>73</v>
      </c>
      <c r="G29" s="64" t="s">
        <v>285</v>
      </c>
      <c r="H29" s="64" t="s">
        <v>293</v>
      </c>
      <c r="I29" s="65" t="s">
        <v>286</v>
      </c>
      <c r="J29" s="64" t="s">
        <v>294</v>
      </c>
      <c r="K29" s="65" t="s">
        <v>286</v>
      </c>
      <c r="L29" s="65" t="s">
        <v>287</v>
      </c>
    </row>
    <row r="30" spans="1:12" s="32" customFormat="1" ht="12" customHeight="1" x14ac:dyDescent="0.25">
      <c r="A30" s="146">
        <v>1</v>
      </c>
      <c r="B30" s="146"/>
      <c r="C30" s="146"/>
      <c r="D30" s="146"/>
      <c r="E30" s="146"/>
      <c r="F30" s="109">
        <v>2</v>
      </c>
      <c r="G30" s="109">
        <v>3</v>
      </c>
      <c r="H30" s="109">
        <v>4</v>
      </c>
      <c r="I30" s="67">
        <v>5</v>
      </c>
      <c r="J30" s="67">
        <v>6</v>
      </c>
      <c r="K30" s="67">
        <v>7</v>
      </c>
      <c r="L30" s="67">
        <v>8</v>
      </c>
    </row>
    <row r="31" spans="1:12" s="2" customFormat="1" ht="15" customHeight="1" x14ac:dyDescent="0.25">
      <c r="A31" s="139" t="s">
        <v>17</v>
      </c>
      <c r="B31" s="140"/>
      <c r="C31" s="140"/>
      <c r="D31" s="140"/>
      <c r="E31" s="141"/>
      <c r="F31" s="17">
        <v>0</v>
      </c>
      <c r="G31" s="17"/>
      <c r="H31" s="17">
        <v>0</v>
      </c>
      <c r="I31" s="17">
        <v>0</v>
      </c>
      <c r="J31" s="17">
        <v>0</v>
      </c>
      <c r="K31" s="18">
        <v>0</v>
      </c>
      <c r="L31" s="18"/>
    </row>
    <row r="32" spans="1:12" s="2" customFormat="1" ht="15" customHeight="1" x14ac:dyDescent="0.25">
      <c r="A32" s="144" t="s">
        <v>18</v>
      </c>
      <c r="B32" s="145"/>
      <c r="C32" s="145"/>
      <c r="D32" s="145"/>
      <c r="E32" s="145"/>
      <c r="F32" s="19">
        <f>F25+F31</f>
        <v>62063</v>
      </c>
      <c r="G32" s="19"/>
      <c r="H32" s="19">
        <f t="shared" ref="H32:K32" si="8">H25+H31</f>
        <v>0</v>
      </c>
      <c r="I32" s="19">
        <f t="shared" si="8"/>
        <v>0</v>
      </c>
      <c r="J32" s="19">
        <f t="shared" si="8"/>
        <v>29423.089999999851</v>
      </c>
      <c r="K32" s="20">
        <f t="shared" si="8"/>
        <v>29423.089999997988</v>
      </c>
      <c r="L32" s="20"/>
    </row>
    <row r="33" spans="1:12" s="2" customFormat="1" ht="45" customHeight="1" x14ac:dyDescent="0.25">
      <c r="A33" s="147" t="s">
        <v>19</v>
      </c>
      <c r="B33" s="148"/>
      <c r="C33" s="148"/>
      <c r="D33" s="148"/>
      <c r="E33" s="149"/>
      <c r="F33" s="19">
        <f>F16+F24+F31-F32</f>
        <v>0</v>
      </c>
      <c r="G33" s="19"/>
      <c r="H33" s="19">
        <f t="shared" ref="H33:K33" si="9">H16+H24+H31-H32</f>
        <v>0</v>
      </c>
      <c r="I33" s="19">
        <f t="shared" si="9"/>
        <v>0</v>
      </c>
      <c r="J33" s="19">
        <f t="shared" si="9"/>
        <v>0</v>
      </c>
      <c r="K33" s="20">
        <f t="shared" si="9"/>
        <v>0</v>
      </c>
      <c r="L33" s="20"/>
    </row>
    <row r="34" spans="1:12" s="2" customFormat="1" ht="18" customHeight="1" x14ac:dyDescent="0.25">
      <c r="A34" s="27"/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2" s="2" customFormat="1" ht="18" customHeight="1" x14ac:dyDescent="0.25">
      <c r="A35" s="150" t="s">
        <v>20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</row>
    <row r="36" spans="1:12" s="2" customFormat="1" ht="18.75" x14ac:dyDescent="0.25">
      <c r="A36" s="22"/>
      <c r="B36" s="23"/>
      <c r="C36" s="23"/>
      <c r="D36" s="23"/>
      <c r="E36" s="23"/>
      <c r="F36" s="23"/>
      <c r="G36" s="23"/>
      <c r="H36" s="23"/>
      <c r="I36" s="24"/>
      <c r="J36" s="24"/>
      <c r="K36" s="24"/>
    </row>
    <row r="37" spans="1:12" s="2" customFormat="1" ht="44.25" customHeight="1" x14ac:dyDescent="0.25">
      <c r="A37" s="136" t="s">
        <v>22</v>
      </c>
      <c r="B37" s="137"/>
      <c r="C37" s="137"/>
      <c r="D37" s="137"/>
      <c r="E37" s="138"/>
      <c r="F37" s="64" t="s">
        <v>73</v>
      </c>
      <c r="G37" s="64" t="s">
        <v>285</v>
      </c>
      <c r="H37" s="64" t="s">
        <v>293</v>
      </c>
      <c r="I37" s="65" t="s">
        <v>286</v>
      </c>
      <c r="J37" s="64" t="s">
        <v>294</v>
      </c>
      <c r="K37" s="65" t="s">
        <v>286</v>
      </c>
      <c r="L37" s="65" t="s">
        <v>287</v>
      </c>
    </row>
    <row r="38" spans="1:12" s="32" customFormat="1" ht="12" customHeight="1" x14ac:dyDescent="0.25">
      <c r="A38" s="146">
        <v>1</v>
      </c>
      <c r="B38" s="146"/>
      <c r="C38" s="146"/>
      <c r="D38" s="146"/>
      <c r="E38" s="146"/>
      <c r="F38" s="109">
        <v>2</v>
      </c>
      <c r="G38" s="109">
        <v>3</v>
      </c>
      <c r="H38" s="109">
        <v>4</v>
      </c>
      <c r="I38" s="67">
        <v>5</v>
      </c>
      <c r="J38" s="67">
        <v>6</v>
      </c>
      <c r="K38" s="67">
        <v>7</v>
      </c>
      <c r="L38" s="67">
        <v>8</v>
      </c>
    </row>
    <row r="39" spans="1:12" s="2" customFormat="1" x14ac:dyDescent="0.25">
      <c r="A39" s="139" t="s">
        <v>17</v>
      </c>
      <c r="B39" s="140"/>
      <c r="C39" s="140"/>
      <c r="D39" s="140"/>
      <c r="E39" s="141"/>
      <c r="F39" s="17">
        <v>0</v>
      </c>
      <c r="G39" s="17"/>
      <c r="H39" s="17">
        <f>F42</f>
        <v>0</v>
      </c>
      <c r="I39" s="17">
        <f>H42</f>
        <v>0</v>
      </c>
      <c r="J39" s="17">
        <f>I42</f>
        <v>0</v>
      </c>
      <c r="K39" s="18">
        <f>J42</f>
        <v>0</v>
      </c>
      <c r="L39" s="18"/>
    </row>
    <row r="40" spans="1:12" s="2" customFormat="1" ht="28.5" customHeight="1" x14ac:dyDescent="0.25">
      <c r="A40" s="139" t="s">
        <v>21</v>
      </c>
      <c r="B40" s="140"/>
      <c r="C40" s="140"/>
      <c r="D40" s="140"/>
      <c r="E40" s="141"/>
      <c r="F40" s="17">
        <v>0</v>
      </c>
      <c r="G40" s="17"/>
      <c r="H40" s="17">
        <v>0</v>
      </c>
      <c r="I40" s="17">
        <v>0</v>
      </c>
      <c r="J40" s="17">
        <v>0</v>
      </c>
      <c r="K40" s="18">
        <v>0</v>
      </c>
      <c r="L40" s="18"/>
    </row>
    <row r="41" spans="1:12" s="2" customFormat="1" ht="25.5" customHeight="1" x14ac:dyDescent="0.25">
      <c r="A41" s="139" t="s">
        <v>60</v>
      </c>
      <c r="B41" s="142"/>
      <c r="C41" s="142"/>
      <c r="D41" s="142"/>
      <c r="E41" s="143"/>
      <c r="F41" s="17">
        <v>0</v>
      </c>
      <c r="G41" s="17"/>
      <c r="H41" s="17">
        <v>0</v>
      </c>
      <c r="I41" s="17">
        <v>0</v>
      </c>
      <c r="J41" s="17">
        <v>0</v>
      </c>
      <c r="K41" s="18">
        <v>0</v>
      </c>
      <c r="L41" s="18"/>
    </row>
    <row r="42" spans="1:12" s="2" customFormat="1" ht="15" customHeight="1" x14ac:dyDescent="0.25">
      <c r="A42" s="144" t="s">
        <v>18</v>
      </c>
      <c r="B42" s="145"/>
      <c r="C42" s="145"/>
      <c r="D42" s="145"/>
      <c r="E42" s="145"/>
      <c r="F42" s="25">
        <f>F39-F40+F41</f>
        <v>0</v>
      </c>
      <c r="G42" s="25"/>
      <c r="H42" s="25">
        <f t="shared" ref="H42:K42" si="10">H39-H40+H41</f>
        <v>0</v>
      </c>
      <c r="I42" s="25">
        <f t="shared" si="10"/>
        <v>0</v>
      </c>
      <c r="J42" s="25">
        <f t="shared" si="10"/>
        <v>0</v>
      </c>
      <c r="K42" s="26">
        <f t="shared" si="10"/>
        <v>0</v>
      </c>
      <c r="L42" s="26"/>
    </row>
    <row r="43" spans="1:12" ht="9" customHeight="1" x14ac:dyDescent="0.25"/>
  </sheetData>
  <mergeCells count="31">
    <mergeCell ref="A18:K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K27"/>
    <mergeCell ref="A2:K2"/>
    <mergeCell ref="A4:K4"/>
    <mergeCell ref="A6:K6"/>
    <mergeCell ref="A8:E8"/>
    <mergeCell ref="A10:E10"/>
    <mergeCell ref="A32:E32"/>
    <mergeCell ref="A33:E33"/>
    <mergeCell ref="A35:K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rowBreaks count="1" manualBreakCount="1">
    <brk id="26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71"/>
  <sheetViews>
    <sheetView topLeftCell="A129" zoomScale="70" zoomScaleNormal="70" workbookViewId="0">
      <selection activeCell="L165" sqref="L165"/>
    </sheetView>
  </sheetViews>
  <sheetFormatPr defaultColWidth="8.85546875" defaultRowHeight="15" x14ac:dyDescent="0.25"/>
  <cols>
    <col min="1" max="1" width="11.140625" style="32" customWidth="1"/>
    <col min="2" max="2" width="71" style="32" customWidth="1"/>
    <col min="3" max="3" width="19.5703125" style="118" hidden="1" customWidth="1"/>
    <col min="4" max="5" width="19.5703125" style="118" customWidth="1"/>
    <col min="6" max="8" width="19.42578125" style="94" customWidth="1"/>
    <col min="9" max="9" width="14.28515625" style="32" customWidth="1"/>
    <col min="10" max="10" width="25.28515625" style="32" customWidth="1"/>
    <col min="11" max="11" width="13" style="32" bestFit="1" customWidth="1"/>
    <col min="12" max="12" width="12.42578125" style="32" bestFit="1" customWidth="1"/>
    <col min="13" max="16384" width="8.85546875" style="32"/>
  </cols>
  <sheetData>
    <row r="1" spans="1:12" ht="18.75" x14ac:dyDescent="0.25">
      <c r="A1" s="56"/>
      <c r="B1" s="31"/>
      <c r="C1" s="106"/>
      <c r="D1" s="106"/>
      <c r="E1" s="106"/>
      <c r="F1" s="81"/>
      <c r="G1" s="81"/>
      <c r="H1" s="81"/>
      <c r="I1" s="31"/>
      <c r="J1" s="31"/>
    </row>
    <row r="2" spans="1:12" ht="15.6" customHeight="1" x14ac:dyDescent="0.25">
      <c r="A2" s="163" t="s">
        <v>27</v>
      </c>
      <c r="B2" s="163"/>
      <c r="C2" s="163"/>
      <c r="D2" s="163"/>
      <c r="E2" s="163"/>
      <c r="F2" s="163"/>
      <c r="G2" s="163"/>
      <c r="H2" s="163"/>
      <c r="I2" s="53"/>
      <c r="J2" s="34"/>
    </row>
    <row r="3" spans="1:12" ht="18.75" x14ac:dyDescent="0.25">
      <c r="A3" s="31"/>
      <c r="B3" s="31"/>
      <c r="C3" s="106"/>
      <c r="D3" s="106"/>
      <c r="E3" s="106"/>
      <c r="F3" s="81"/>
      <c r="G3" s="81"/>
      <c r="H3" s="81"/>
      <c r="I3" s="31"/>
      <c r="J3" s="33"/>
    </row>
    <row r="4" spans="1:12" ht="15.6" customHeight="1" x14ac:dyDescent="0.25">
      <c r="A4" s="163" t="s">
        <v>28</v>
      </c>
      <c r="B4" s="163"/>
      <c r="C4" s="163"/>
      <c r="D4" s="163"/>
      <c r="E4" s="163"/>
      <c r="F4" s="163"/>
      <c r="G4" s="163"/>
      <c r="H4" s="163"/>
      <c r="I4" s="53"/>
      <c r="J4" s="35"/>
    </row>
    <row r="5" spans="1:12" ht="18.75" x14ac:dyDescent="0.25">
      <c r="A5" s="31"/>
      <c r="B5" s="31"/>
      <c r="C5" s="106"/>
      <c r="D5" s="106"/>
      <c r="E5" s="106"/>
      <c r="F5" s="81"/>
      <c r="G5" s="81"/>
      <c r="H5" s="81"/>
      <c r="I5" s="31"/>
      <c r="J5" s="33"/>
      <c r="L5" s="94"/>
    </row>
    <row r="6" spans="1:12" ht="39.75" customHeight="1" x14ac:dyDescent="0.25">
      <c r="A6" s="36" t="s">
        <v>41</v>
      </c>
      <c r="B6" s="37" t="s">
        <v>22</v>
      </c>
      <c r="C6" s="83" t="s">
        <v>73</v>
      </c>
      <c r="D6" s="83" t="s">
        <v>285</v>
      </c>
      <c r="E6" s="83" t="s">
        <v>295</v>
      </c>
      <c r="F6" s="84" t="s">
        <v>286</v>
      </c>
      <c r="G6" s="83" t="s">
        <v>296</v>
      </c>
      <c r="H6" s="84" t="s">
        <v>286</v>
      </c>
      <c r="I6" s="84" t="s">
        <v>287</v>
      </c>
    </row>
    <row r="7" spans="1:12" s="40" customFormat="1" x14ac:dyDescent="0.25">
      <c r="A7" s="39">
        <v>1</v>
      </c>
      <c r="B7" s="39">
        <v>2</v>
      </c>
      <c r="C7" s="120">
        <v>3</v>
      </c>
      <c r="D7" s="120">
        <v>4</v>
      </c>
      <c r="E7" s="120">
        <v>5</v>
      </c>
      <c r="F7" s="120">
        <v>6</v>
      </c>
      <c r="G7" s="120">
        <v>7</v>
      </c>
      <c r="H7" s="120">
        <v>8</v>
      </c>
      <c r="I7" s="120">
        <v>9</v>
      </c>
      <c r="L7" s="94"/>
    </row>
    <row r="8" spans="1:12" x14ac:dyDescent="0.25">
      <c r="A8" s="41"/>
      <c r="B8" s="41" t="s">
        <v>29</v>
      </c>
      <c r="C8" s="112">
        <f>C9</f>
        <v>1451328.32</v>
      </c>
      <c r="D8" s="112">
        <f t="shared" ref="D8:H8" si="0">D9</f>
        <v>1660647</v>
      </c>
      <c r="E8" s="112">
        <f t="shared" si="0"/>
        <v>11019646.880000001</v>
      </c>
      <c r="F8" s="112">
        <f t="shared" si="0"/>
        <v>9358999.8800000008</v>
      </c>
      <c r="G8" s="112">
        <f t="shared" si="0"/>
        <v>2502057</v>
      </c>
      <c r="H8" s="112">
        <f t="shared" si="0"/>
        <v>-8517589.8800000008</v>
      </c>
      <c r="I8" s="129">
        <f>G8/E8*100</f>
        <v>22.705419032447253</v>
      </c>
    </row>
    <row r="9" spans="1:12" x14ac:dyDescent="0.25">
      <c r="A9" s="97">
        <v>6</v>
      </c>
      <c r="B9" s="97" t="s">
        <v>30</v>
      </c>
      <c r="C9" s="116">
        <f t="shared" ref="C9" si="1">C10+C19+C24+C27+C33</f>
        <v>1451328.32</v>
      </c>
      <c r="D9" s="116">
        <f>D10+D19+D24+D27+D33</f>
        <v>1660647</v>
      </c>
      <c r="E9" s="116">
        <f>E10+E19+E24+E27+E33</f>
        <v>11019646.880000001</v>
      </c>
      <c r="F9" s="116">
        <f>F10+F19+F24+F27+F33</f>
        <v>9358999.8800000008</v>
      </c>
      <c r="G9" s="116">
        <f>G10+G19+G24+G27+G33+G38</f>
        <v>2502057</v>
      </c>
      <c r="H9" s="116">
        <f>H10+H19+H24+H27+H33+H38</f>
        <v>-8517589.8800000008</v>
      </c>
      <c r="I9" s="131">
        <f t="shared" ref="I9:I37" si="2">G9/E9*100</f>
        <v>22.705419032447253</v>
      </c>
      <c r="J9" s="94"/>
    </row>
    <row r="10" spans="1:12" x14ac:dyDescent="0.25">
      <c r="A10" s="98">
        <v>63</v>
      </c>
      <c r="B10" s="99" t="s">
        <v>31</v>
      </c>
      <c r="C10" s="102">
        <f t="shared" ref="C10:E10" si="3">C11+C13+C16</f>
        <v>82760.990000000005</v>
      </c>
      <c r="D10" s="102">
        <f t="shared" ref="D10" si="4">D11+D13+D16</f>
        <v>63514</v>
      </c>
      <c r="E10" s="102">
        <f t="shared" si="3"/>
        <v>8442688.8000000007</v>
      </c>
      <c r="F10" s="102">
        <f>F11+F13+F16</f>
        <v>8379174.8000000007</v>
      </c>
      <c r="G10" s="102">
        <f t="shared" ref="G10" si="5">G11+G13+G16</f>
        <v>199947.61</v>
      </c>
      <c r="H10" s="102">
        <f>H11+H13+H16</f>
        <v>-8242741.1900000004</v>
      </c>
      <c r="I10" s="132">
        <f t="shared" si="2"/>
        <v>2.3682930253215062</v>
      </c>
      <c r="J10" s="94"/>
    </row>
    <row r="11" spans="1:12" hidden="1" x14ac:dyDescent="0.25">
      <c r="A11" s="100">
        <v>632</v>
      </c>
      <c r="B11" s="101" t="s">
        <v>190</v>
      </c>
      <c r="C11" s="103">
        <f t="shared" ref="C11:E11" si="6">C12</f>
        <v>39848.980000000003</v>
      </c>
      <c r="D11" s="103">
        <f t="shared" si="6"/>
        <v>53514</v>
      </c>
      <c r="E11" s="103">
        <f t="shared" si="6"/>
        <v>8432688.8000000007</v>
      </c>
      <c r="F11" s="103">
        <f>F12</f>
        <v>8379174.8000000007</v>
      </c>
      <c r="G11" s="103">
        <f t="shared" ref="G11:H11" si="7">G12</f>
        <v>178601.16</v>
      </c>
      <c r="H11" s="103">
        <f t="shared" si="7"/>
        <v>-8254087.6400000006</v>
      </c>
      <c r="I11" s="133">
        <f t="shared" si="2"/>
        <v>2.117962185441967</v>
      </c>
      <c r="J11" s="94"/>
    </row>
    <row r="12" spans="1:12" hidden="1" x14ac:dyDescent="0.25">
      <c r="A12" s="51" t="s">
        <v>174</v>
      </c>
      <c r="B12" s="43" t="s">
        <v>191</v>
      </c>
      <c r="C12" s="104">
        <v>39848.980000000003</v>
      </c>
      <c r="D12" s="104">
        <v>53514</v>
      </c>
      <c r="E12" s="104">
        <v>8432688.8000000007</v>
      </c>
      <c r="F12" s="91">
        <f>E12-D12</f>
        <v>8379174.8000000007</v>
      </c>
      <c r="G12" s="91">
        <v>178601.16</v>
      </c>
      <c r="H12" s="91">
        <f>G12-E12</f>
        <v>-8254087.6400000006</v>
      </c>
      <c r="I12" s="42">
        <f t="shared" si="2"/>
        <v>2.117962185441967</v>
      </c>
      <c r="J12" s="94"/>
    </row>
    <row r="13" spans="1:12" hidden="1" x14ac:dyDescent="0.25">
      <c r="A13" s="100">
        <v>638</v>
      </c>
      <c r="B13" s="101" t="s">
        <v>192</v>
      </c>
      <c r="C13" s="103">
        <f t="shared" ref="C13:E13" si="8">C14+C15</f>
        <v>42912.01</v>
      </c>
      <c r="D13" s="103">
        <f t="shared" si="8"/>
        <v>10000</v>
      </c>
      <c r="E13" s="103">
        <f t="shared" si="8"/>
        <v>10000</v>
      </c>
      <c r="F13" s="103">
        <f>F14+F15</f>
        <v>0</v>
      </c>
      <c r="G13" s="103">
        <f t="shared" ref="G13" si="9">G14+G15</f>
        <v>21346.449999999997</v>
      </c>
      <c r="H13" s="103">
        <f>H14+H15</f>
        <v>11346.449999999997</v>
      </c>
      <c r="I13" s="133">
        <f t="shared" si="2"/>
        <v>213.46449999999999</v>
      </c>
      <c r="J13" s="94"/>
    </row>
    <row r="14" spans="1:12" hidden="1" x14ac:dyDescent="0.25">
      <c r="A14" s="51" t="s">
        <v>175</v>
      </c>
      <c r="B14" s="43" t="s">
        <v>193</v>
      </c>
      <c r="C14" s="104">
        <v>42912.01</v>
      </c>
      <c r="D14" s="104">
        <v>10000</v>
      </c>
      <c r="E14" s="104">
        <v>10000</v>
      </c>
      <c r="F14" s="91">
        <f t="shared" ref="F14:F15" si="10">E14-D14</f>
        <v>0</v>
      </c>
      <c r="G14" s="91">
        <v>21346.449999999997</v>
      </c>
      <c r="H14" s="91">
        <f>G14-E14</f>
        <v>11346.449999999997</v>
      </c>
      <c r="I14" s="42">
        <f t="shared" si="2"/>
        <v>213.46449999999999</v>
      </c>
      <c r="J14" s="94"/>
    </row>
    <row r="15" spans="1:12" hidden="1" x14ac:dyDescent="0.25">
      <c r="A15" s="51" t="s">
        <v>176</v>
      </c>
      <c r="B15" s="43" t="s">
        <v>271</v>
      </c>
      <c r="C15" s="104">
        <v>0</v>
      </c>
      <c r="D15" s="104">
        <v>0</v>
      </c>
      <c r="E15" s="104">
        <v>0</v>
      </c>
      <c r="F15" s="91">
        <f t="shared" si="10"/>
        <v>0</v>
      </c>
      <c r="G15" s="91">
        <v>0</v>
      </c>
      <c r="H15" s="91">
        <f t="shared" ref="H15" si="11">G15-E15</f>
        <v>0</v>
      </c>
      <c r="I15" s="42"/>
      <c r="J15" s="94"/>
    </row>
    <row r="16" spans="1:12" hidden="1" x14ac:dyDescent="0.25">
      <c r="A16" s="100">
        <v>639</v>
      </c>
      <c r="B16" s="101" t="s">
        <v>272</v>
      </c>
      <c r="C16" s="103">
        <f t="shared" ref="C16:E16" si="12">C17+C18</f>
        <v>0</v>
      </c>
      <c r="D16" s="103">
        <f t="shared" si="12"/>
        <v>0</v>
      </c>
      <c r="E16" s="103">
        <f t="shared" si="12"/>
        <v>0</v>
      </c>
      <c r="F16" s="103">
        <f>F17+F18</f>
        <v>0</v>
      </c>
      <c r="G16" s="103">
        <f t="shared" ref="G16" si="13">G17+G18</f>
        <v>0</v>
      </c>
      <c r="H16" s="103">
        <f>H17+H18</f>
        <v>0</v>
      </c>
      <c r="I16" s="133"/>
      <c r="J16" s="94"/>
    </row>
    <row r="17" spans="1:10" ht="25.5" hidden="1" x14ac:dyDescent="0.25">
      <c r="A17" s="51" t="s">
        <v>177</v>
      </c>
      <c r="B17" s="43" t="s">
        <v>273</v>
      </c>
      <c r="C17" s="104">
        <v>0</v>
      </c>
      <c r="D17" s="104">
        <v>0</v>
      </c>
      <c r="E17" s="104">
        <v>0</v>
      </c>
      <c r="F17" s="91">
        <f t="shared" ref="F17:F18" si="14">E17-D17</f>
        <v>0</v>
      </c>
      <c r="G17" s="91">
        <v>0</v>
      </c>
      <c r="H17" s="91">
        <f t="shared" ref="H17:H18" si="15">G17-E17</f>
        <v>0</v>
      </c>
      <c r="I17" s="42"/>
      <c r="J17" s="94"/>
    </row>
    <row r="18" spans="1:10" ht="25.5" hidden="1" x14ac:dyDescent="0.25">
      <c r="A18" s="51" t="s">
        <v>178</v>
      </c>
      <c r="B18" s="43" t="s">
        <v>274</v>
      </c>
      <c r="C18" s="104">
        <v>0</v>
      </c>
      <c r="D18" s="104">
        <v>0</v>
      </c>
      <c r="E18" s="104">
        <v>0</v>
      </c>
      <c r="F18" s="91">
        <f t="shared" si="14"/>
        <v>0</v>
      </c>
      <c r="G18" s="91">
        <v>0</v>
      </c>
      <c r="H18" s="91">
        <f t="shared" si="15"/>
        <v>0</v>
      </c>
      <c r="I18" s="42"/>
      <c r="J18" s="94"/>
    </row>
    <row r="19" spans="1:10" x14ac:dyDescent="0.25">
      <c r="A19" s="98">
        <v>64</v>
      </c>
      <c r="B19" s="99" t="s">
        <v>194</v>
      </c>
      <c r="C19" s="102">
        <f t="shared" ref="C19:E19" si="16">C20+C22</f>
        <v>1700.67</v>
      </c>
      <c r="D19" s="102">
        <f t="shared" ref="D19" si="17">D20+D22</f>
        <v>0</v>
      </c>
      <c r="E19" s="102">
        <f t="shared" si="16"/>
        <v>0</v>
      </c>
      <c r="F19" s="102">
        <f>F20+F22</f>
        <v>0</v>
      </c>
      <c r="G19" s="102">
        <f t="shared" ref="G19:H19" si="18">G20+G22</f>
        <v>2000</v>
      </c>
      <c r="H19" s="102">
        <f t="shared" si="18"/>
        <v>2000</v>
      </c>
      <c r="I19" s="132"/>
      <c r="J19" s="94"/>
    </row>
    <row r="20" spans="1:10" hidden="1" x14ac:dyDescent="0.25">
      <c r="A20" s="100">
        <v>641</v>
      </c>
      <c r="B20" s="101" t="s">
        <v>195</v>
      </c>
      <c r="C20" s="103">
        <f t="shared" ref="C20:E20" si="19">C21</f>
        <v>0.67</v>
      </c>
      <c r="D20" s="103">
        <f t="shared" si="19"/>
        <v>0</v>
      </c>
      <c r="E20" s="103">
        <f t="shared" si="19"/>
        <v>0</v>
      </c>
      <c r="F20" s="103">
        <f>F21</f>
        <v>0</v>
      </c>
      <c r="G20" s="103">
        <f t="shared" ref="G20:H20" si="20">G21</f>
        <v>0</v>
      </c>
      <c r="H20" s="103">
        <f t="shared" si="20"/>
        <v>0</v>
      </c>
      <c r="I20" s="133"/>
      <c r="J20" s="94"/>
    </row>
    <row r="21" spans="1:10" hidden="1" x14ac:dyDescent="0.25">
      <c r="A21" s="51" t="s">
        <v>179</v>
      </c>
      <c r="B21" s="43" t="s">
        <v>196</v>
      </c>
      <c r="C21" s="104">
        <v>0.67</v>
      </c>
      <c r="D21" s="104">
        <v>0</v>
      </c>
      <c r="E21" s="104">
        <v>0</v>
      </c>
      <c r="F21" s="91">
        <f>E21-D21</f>
        <v>0</v>
      </c>
      <c r="G21" s="91">
        <v>0</v>
      </c>
      <c r="H21" s="91">
        <f>G21-E21</f>
        <v>0</v>
      </c>
      <c r="I21" s="42"/>
      <c r="J21" s="94"/>
    </row>
    <row r="22" spans="1:10" hidden="1" x14ac:dyDescent="0.25">
      <c r="A22" s="100">
        <v>642</v>
      </c>
      <c r="B22" s="101" t="s">
        <v>197</v>
      </c>
      <c r="C22" s="103">
        <f t="shared" ref="C22:E22" si="21">C23</f>
        <v>1700</v>
      </c>
      <c r="D22" s="103">
        <f t="shared" si="21"/>
        <v>0</v>
      </c>
      <c r="E22" s="103">
        <f t="shared" si="21"/>
        <v>0</v>
      </c>
      <c r="F22" s="103">
        <f>F23</f>
        <v>0</v>
      </c>
      <c r="G22" s="103">
        <f t="shared" ref="G22:H22" si="22">G23</f>
        <v>2000</v>
      </c>
      <c r="H22" s="103">
        <f t="shared" si="22"/>
        <v>2000</v>
      </c>
      <c r="I22" s="133"/>
      <c r="J22" s="94"/>
    </row>
    <row r="23" spans="1:10" hidden="1" x14ac:dyDescent="0.25">
      <c r="A23" s="51" t="s">
        <v>180</v>
      </c>
      <c r="B23" s="43" t="s">
        <v>198</v>
      </c>
      <c r="C23" s="104">
        <v>1700</v>
      </c>
      <c r="D23" s="104">
        <v>0</v>
      </c>
      <c r="E23" s="104">
        <v>0</v>
      </c>
      <c r="F23" s="91">
        <f>E23-D23</f>
        <v>0</v>
      </c>
      <c r="G23" s="91">
        <v>2000</v>
      </c>
      <c r="H23" s="91">
        <f>G23-E23</f>
        <v>2000</v>
      </c>
      <c r="I23" s="42"/>
      <c r="J23" s="94"/>
    </row>
    <row r="24" spans="1:10" x14ac:dyDescent="0.25">
      <c r="A24" s="98">
        <v>65</v>
      </c>
      <c r="B24" s="99" t="s">
        <v>199</v>
      </c>
      <c r="C24" s="102">
        <f t="shared" ref="C24:E25" si="23">C25</f>
        <v>92978.92</v>
      </c>
      <c r="D24" s="102">
        <f t="shared" si="23"/>
        <v>80000</v>
      </c>
      <c r="E24" s="102">
        <f t="shared" si="23"/>
        <v>80000</v>
      </c>
      <c r="F24" s="102">
        <f>F25</f>
        <v>0</v>
      </c>
      <c r="G24" s="102">
        <f t="shared" ref="G24:H24" si="24">G25</f>
        <v>102509.92</v>
      </c>
      <c r="H24" s="102">
        <f t="shared" si="24"/>
        <v>22509.919999999998</v>
      </c>
      <c r="I24" s="132">
        <f t="shared" si="2"/>
        <v>128.13740000000001</v>
      </c>
      <c r="J24" s="94"/>
    </row>
    <row r="25" spans="1:10" hidden="1" x14ac:dyDescent="0.25">
      <c r="A25" s="100">
        <v>652</v>
      </c>
      <c r="B25" s="101" t="s">
        <v>200</v>
      </c>
      <c r="C25" s="103">
        <f t="shared" si="23"/>
        <v>92978.92</v>
      </c>
      <c r="D25" s="103">
        <f t="shared" si="23"/>
        <v>80000</v>
      </c>
      <c r="E25" s="103">
        <f t="shared" si="23"/>
        <v>80000</v>
      </c>
      <c r="F25" s="103">
        <f>F26</f>
        <v>0</v>
      </c>
      <c r="G25" s="103">
        <f t="shared" ref="G25" si="25">G26</f>
        <v>102509.92</v>
      </c>
      <c r="H25" s="103">
        <f t="shared" ref="H25" si="26">H26</f>
        <v>22509.919999999998</v>
      </c>
      <c r="I25" s="133">
        <f t="shared" si="2"/>
        <v>128.13740000000001</v>
      </c>
      <c r="J25" s="94"/>
    </row>
    <row r="26" spans="1:10" hidden="1" x14ac:dyDescent="0.25">
      <c r="A26" s="51" t="s">
        <v>181</v>
      </c>
      <c r="B26" s="43" t="s">
        <v>201</v>
      </c>
      <c r="C26" s="104">
        <v>92978.92</v>
      </c>
      <c r="D26" s="104">
        <v>80000</v>
      </c>
      <c r="E26" s="104">
        <v>80000</v>
      </c>
      <c r="F26" s="91">
        <f>E26-D26</f>
        <v>0</v>
      </c>
      <c r="G26" s="91">
        <v>102509.92</v>
      </c>
      <c r="H26" s="91">
        <f>G26-E26</f>
        <v>22509.919999999998</v>
      </c>
      <c r="I26" s="42">
        <f t="shared" si="2"/>
        <v>128.13740000000001</v>
      </c>
      <c r="J26" s="94"/>
    </row>
    <row r="27" spans="1:10" x14ac:dyDescent="0.25">
      <c r="A27" s="98">
        <v>66</v>
      </c>
      <c r="B27" s="99" t="s">
        <v>32</v>
      </c>
      <c r="C27" s="102">
        <f t="shared" ref="C27:E27" si="27">C28+C31</f>
        <v>40374</v>
      </c>
      <c r="D27" s="102">
        <f t="shared" ref="D27" si="28">D28+D31</f>
        <v>72000</v>
      </c>
      <c r="E27" s="102">
        <f t="shared" si="27"/>
        <v>88200</v>
      </c>
      <c r="F27" s="102">
        <f>F28+F31</f>
        <v>16200</v>
      </c>
      <c r="G27" s="102">
        <f>G28+G31</f>
        <v>64130</v>
      </c>
      <c r="H27" s="102">
        <f>H28+H31</f>
        <v>-24070</v>
      </c>
      <c r="I27" s="132">
        <f t="shared" si="2"/>
        <v>72.709750566893433</v>
      </c>
      <c r="J27" s="94"/>
    </row>
    <row r="28" spans="1:10" hidden="1" x14ac:dyDescent="0.25">
      <c r="A28" s="100">
        <v>661</v>
      </c>
      <c r="B28" s="101" t="s">
        <v>202</v>
      </c>
      <c r="C28" s="103">
        <f>C30+C29</f>
        <v>32374</v>
      </c>
      <c r="D28" s="103">
        <f>D30+D29</f>
        <v>72000</v>
      </c>
      <c r="E28" s="103">
        <f>E30+E29</f>
        <v>72000</v>
      </c>
      <c r="F28" s="103">
        <f>F30</f>
        <v>0</v>
      </c>
      <c r="G28" s="103">
        <f t="shared" ref="G28" si="29">G30</f>
        <v>20000</v>
      </c>
      <c r="H28" s="103">
        <f>H30+H29</f>
        <v>-52000</v>
      </c>
      <c r="I28" s="133">
        <f t="shared" si="2"/>
        <v>27.777777777777779</v>
      </c>
      <c r="J28" s="94"/>
    </row>
    <row r="29" spans="1:10" hidden="1" x14ac:dyDescent="0.25">
      <c r="A29" s="51">
        <v>6611</v>
      </c>
      <c r="B29" s="43" t="s">
        <v>203</v>
      </c>
      <c r="C29" s="104">
        <v>30594</v>
      </c>
      <c r="D29" s="104">
        <v>72000</v>
      </c>
      <c r="E29" s="104">
        <v>72000</v>
      </c>
      <c r="F29" s="91">
        <f t="shared" ref="F29:F30" si="30">E29-D29</f>
        <v>0</v>
      </c>
      <c r="G29" s="91">
        <v>0</v>
      </c>
      <c r="H29" s="91">
        <f>G29-E29</f>
        <v>-72000</v>
      </c>
      <c r="I29" s="42">
        <f t="shared" si="2"/>
        <v>0</v>
      </c>
      <c r="J29" s="94"/>
    </row>
    <row r="30" spans="1:10" hidden="1" x14ac:dyDescent="0.25">
      <c r="A30" s="51" t="s">
        <v>182</v>
      </c>
      <c r="B30" s="43" t="s">
        <v>204</v>
      </c>
      <c r="C30" s="104">
        <v>1780</v>
      </c>
      <c r="D30" s="104">
        <v>0</v>
      </c>
      <c r="E30" s="104">
        <v>0</v>
      </c>
      <c r="F30" s="91">
        <f t="shared" si="30"/>
        <v>0</v>
      </c>
      <c r="G30" s="91">
        <v>20000</v>
      </c>
      <c r="H30" s="91">
        <f t="shared" ref="H30" si="31">G30-E30</f>
        <v>20000</v>
      </c>
      <c r="I30" s="42"/>
      <c r="J30" s="94"/>
    </row>
    <row r="31" spans="1:10" hidden="1" x14ac:dyDescent="0.25">
      <c r="A31" s="100">
        <v>663</v>
      </c>
      <c r="B31" s="101" t="s">
        <v>205</v>
      </c>
      <c r="C31" s="103">
        <f t="shared" ref="C31:E31" si="32">C32</f>
        <v>8000</v>
      </c>
      <c r="D31" s="103">
        <f t="shared" si="32"/>
        <v>0</v>
      </c>
      <c r="E31" s="103">
        <f t="shared" si="32"/>
        <v>16200</v>
      </c>
      <c r="F31" s="103">
        <f>F32</f>
        <v>16200</v>
      </c>
      <c r="G31" s="103">
        <f t="shared" ref="G31" si="33">G32</f>
        <v>44130</v>
      </c>
      <c r="H31" s="103">
        <f>H32</f>
        <v>27930</v>
      </c>
      <c r="I31" s="133">
        <f t="shared" si="2"/>
        <v>272.40740740740739</v>
      </c>
      <c r="J31" s="94"/>
    </row>
    <row r="32" spans="1:10" hidden="1" x14ac:dyDescent="0.25">
      <c r="A32" s="51" t="s">
        <v>183</v>
      </c>
      <c r="B32" s="43" t="s">
        <v>206</v>
      </c>
      <c r="C32" s="104">
        <v>8000</v>
      </c>
      <c r="D32" s="104">
        <v>0</v>
      </c>
      <c r="E32" s="104">
        <v>16200</v>
      </c>
      <c r="F32" s="91">
        <f>E32-D32</f>
        <v>16200</v>
      </c>
      <c r="G32" s="91">
        <v>44130</v>
      </c>
      <c r="H32" s="91">
        <f>G32-E32</f>
        <v>27930</v>
      </c>
      <c r="I32" s="42">
        <f t="shared" si="2"/>
        <v>272.40740740740739</v>
      </c>
      <c r="J32" s="94"/>
    </row>
    <row r="33" spans="1:10" x14ac:dyDescent="0.25">
      <c r="A33" s="98">
        <v>67</v>
      </c>
      <c r="B33" s="99" t="s">
        <v>207</v>
      </c>
      <c r="C33" s="102">
        <f t="shared" ref="C33:E33" si="34">C34</f>
        <v>1233513.74</v>
      </c>
      <c r="D33" s="102">
        <f t="shared" si="34"/>
        <v>1445133</v>
      </c>
      <c r="E33" s="102">
        <f t="shared" si="34"/>
        <v>2408758.0799999996</v>
      </c>
      <c r="F33" s="102">
        <f>F34</f>
        <v>963625.07999999984</v>
      </c>
      <c r="G33" s="102">
        <f t="shared" ref="G33:H33" si="35">G34</f>
        <v>1327100</v>
      </c>
      <c r="H33" s="102">
        <f t="shared" si="35"/>
        <v>-1081658.08</v>
      </c>
      <c r="I33" s="132">
        <f t="shared" si="2"/>
        <v>55.094781456841034</v>
      </c>
      <c r="J33" s="94"/>
    </row>
    <row r="34" spans="1:10" ht="27.75" hidden="1" customHeight="1" x14ac:dyDescent="0.25">
      <c r="A34" s="100">
        <v>671</v>
      </c>
      <c r="B34" s="101" t="s">
        <v>208</v>
      </c>
      <c r="C34" s="103">
        <f t="shared" ref="C34" si="36">C35+C36</f>
        <v>1233513.74</v>
      </c>
      <c r="D34" s="103">
        <f>D35+D36+D37</f>
        <v>1445133</v>
      </c>
      <c r="E34" s="103">
        <f>E35+E36+E37</f>
        <v>2408758.0799999996</v>
      </c>
      <c r="F34" s="103">
        <f>F35+F36+F37</f>
        <v>963625.07999999984</v>
      </c>
      <c r="G34" s="103">
        <f t="shared" ref="G34" si="37">G35+G36</f>
        <v>1327100</v>
      </c>
      <c r="H34" s="103">
        <f>H35+H36+H37</f>
        <v>-1081658.08</v>
      </c>
      <c r="I34" s="133">
        <f t="shared" si="2"/>
        <v>55.094781456841034</v>
      </c>
      <c r="J34" s="94"/>
    </row>
    <row r="35" spans="1:10" hidden="1" x14ac:dyDescent="0.25">
      <c r="A35" s="51" t="s">
        <v>184</v>
      </c>
      <c r="B35" s="43" t="s">
        <v>209</v>
      </c>
      <c r="C35" s="104">
        <v>1171186.51</v>
      </c>
      <c r="D35" s="104">
        <f>1445133-95265.64</f>
        <v>1349867.36</v>
      </c>
      <c r="E35" s="104">
        <v>1364195.07</v>
      </c>
      <c r="F35" s="91">
        <f t="shared" ref="F35:F37" si="38">E35-D35</f>
        <v>14327.709999999963</v>
      </c>
      <c r="G35" s="91">
        <v>1327100</v>
      </c>
      <c r="H35" s="91">
        <f t="shared" ref="H35:H37" si="39">G35-E35</f>
        <v>-37095.070000000065</v>
      </c>
      <c r="I35" s="42">
        <f t="shared" si="2"/>
        <v>97.280808968177837</v>
      </c>
      <c r="J35" s="94"/>
    </row>
    <row r="36" spans="1:10" hidden="1" x14ac:dyDescent="0.25">
      <c r="A36" s="51" t="s">
        <v>185</v>
      </c>
      <c r="B36" s="43" t="s">
        <v>258</v>
      </c>
      <c r="C36" s="104">
        <v>62327.23</v>
      </c>
      <c r="D36" s="104">
        <v>95265.64</v>
      </c>
      <c r="E36" s="104">
        <v>773351.23</v>
      </c>
      <c r="F36" s="91">
        <f t="shared" si="38"/>
        <v>678085.59</v>
      </c>
      <c r="G36" s="91">
        <v>0</v>
      </c>
      <c r="H36" s="91">
        <f t="shared" si="39"/>
        <v>-773351.23</v>
      </c>
      <c r="I36" s="42">
        <f t="shared" si="2"/>
        <v>0</v>
      </c>
      <c r="J36" s="94"/>
    </row>
    <row r="37" spans="1:10" ht="17.25" hidden="1" customHeight="1" x14ac:dyDescent="0.25">
      <c r="A37" s="51"/>
      <c r="B37" s="43" t="s">
        <v>259</v>
      </c>
      <c r="C37" s="104">
        <v>0</v>
      </c>
      <c r="D37" s="104">
        <v>0</v>
      </c>
      <c r="E37" s="104">
        <v>271211.77999999997</v>
      </c>
      <c r="F37" s="91">
        <f t="shared" si="38"/>
        <v>271211.77999999997</v>
      </c>
      <c r="G37" s="91">
        <v>0</v>
      </c>
      <c r="H37" s="91">
        <f t="shared" si="39"/>
        <v>-271211.77999999997</v>
      </c>
      <c r="I37" s="42">
        <f t="shared" si="2"/>
        <v>0</v>
      </c>
      <c r="J37" s="94"/>
    </row>
    <row r="38" spans="1:10" x14ac:dyDescent="0.25">
      <c r="A38" s="98">
        <v>92</v>
      </c>
      <c r="B38" s="99" t="s">
        <v>289</v>
      </c>
      <c r="C38" s="102">
        <f t="shared" ref="C38:F39" si="40">C39</f>
        <v>0</v>
      </c>
      <c r="D38" s="102">
        <f t="shared" si="40"/>
        <v>0</v>
      </c>
      <c r="E38" s="102">
        <f t="shared" si="40"/>
        <v>0</v>
      </c>
      <c r="F38" s="102">
        <f t="shared" si="40"/>
        <v>0</v>
      </c>
      <c r="G38" s="102">
        <f>G39</f>
        <v>806369.47</v>
      </c>
      <c r="H38" s="102">
        <f>H39</f>
        <v>806369.47</v>
      </c>
      <c r="I38" s="132"/>
      <c r="J38" s="94"/>
    </row>
    <row r="39" spans="1:10" hidden="1" x14ac:dyDescent="0.25">
      <c r="A39" s="100">
        <v>922</v>
      </c>
      <c r="B39" s="101" t="s">
        <v>290</v>
      </c>
      <c r="C39" s="103">
        <f t="shared" si="40"/>
        <v>0</v>
      </c>
      <c r="D39" s="103">
        <f t="shared" si="40"/>
        <v>0</v>
      </c>
      <c r="E39" s="103">
        <f t="shared" si="40"/>
        <v>0</v>
      </c>
      <c r="F39" s="103">
        <f t="shared" si="40"/>
        <v>0</v>
      </c>
      <c r="G39" s="103">
        <f>G40</f>
        <v>806369.47</v>
      </c>
      <c r="H39" s="103">
        <f>H40</f>
        <v>806369.47</v>
      </c>
      <c r="I39" s="133"/>
      <c r="J39" s="94"/>
    </row>
    <row r="40" spans="1:10" hidden="1" x14ac:dyDescent="0.25">
      <c r="A40" s="51">
        <v>9221</v>
      </c>
      <c r="B40" s="43" t="s">
        <v>291</v>
      </c>
      <c r="C40" s="104">
        <v>0</v>
      </c>
      <c r="D40" s="104">
        <v>0</v>
      </c>
      <c r="E40" s="104">
        <v>0</v>
      </c>
      <c r="F40" s="91">
        <v>0</v>
      </c>
      <c r="G40" s="91">
        <v>806369.47</v>
      </c>
      <c r="H40" s="91">
        <f t="shared" ref="H40" si="41">G40-E40</f>
        <v>806369.47</v>
      </c>
      <c r="I40" s="42"/>
      <c r="J40" s="94"/>
    </row>
    <row r="41" spans="1:10" x14ac:dyDescent="0.25">
      <c r="C41" s="32"/>
      <c r="D41" s="32"/>
      <c r="E41" s="32"/>
      <c r="F41" s="32"/>
      <c r="G41" s="32"/>
      <c r="H41" s="32"/>
      <c r="J41" s="94"/>
    </row>
    <row r="42" spans="1:10" x14ac:dyDescent="0.25">
      <c r="C42" s="32"/>
      <c r="D42" s="32"/>
      <c r="E42" s="32"/>
      <c r="F42" s="32"/>
      <c r="G42" s="32"/>
      <c r="H42" s="32"/>
    </row>
    <row r="43" spans="1:10" ht="46.5" customHeight="1" x14ac:dyDescent="0.25">
      <c r="A43" s="36" t="s">
        <v>41</v>
      </c>
      <c r="B43" s="37" t="s">
        <v>22</v>
      </c>
      <c r="C43" s="83" t="s">
        <v>73</v>
      </c>
      <c r="D43" s="83" t="s">
        <v>285</v>
      </c>
      <c r="E43" s="83" t="s">
        <v>295</v>
      </c>
      <c r="F43" s="84" t="s">
        <v>286</v>
      </c>
      <c r="G43" s="83" t="s">
        <v>296</v>
      </c>
      <c r="H43" s="84" t="s">
        <v>286</v>
      </c>
      <c r="I43" s="84" t="s">
        <v>287</v>
      </c>
    </row>
    <row r="44" spans="1:10" s="40" customFormat="1" ht="11.25" x14ac:dyDescent="0.2">
      <c r="A44" s="39">
        <v>1</v>
      </c>
      <c r="B44" s="39">
        <v>2</v>
      </c>
      <c r="C44" s="117">
        <v>3</v>
      </c>
      <c r="D44" s="117"/>
      <c r="E44" s="117">
        <v>4</v>
      </c>
      <c r="F44" s="85">
        <v>5</v>
      </c>
      <c r="G44" s="85">
        <v>6</v>
      </c>
      <c r="H44" s="85">
        <v>7</v>
      </c>
      <c r="I44" s="85"/>
    </row>
    <row r="45" spans="1:10" x14ac:dyDescent="0.25">
      <c r="A45" s="41"/>
      <c r="B45" s="41" t="s">
        <v>34</v>
      </c>
      <c r="C45" s="112">
        <f>C46+C98</f>
        <v>1389265.32</v>
      </c>
      <c r="D45" s="112">
        <f t="shared" ref="D45" si="42">D46+D98</f>
        <v>1660647</v>
      </c>
      <c r="E45" s="112">
        <f t="shared" ref="E45:H45" si="43">E46+E98</f>
        <v>11019646.879999999</v>
      </c>
      <c r="F45" s="112">
        <f t="shared" si="43"/>
        <v>9358999.8800000008</v>
      </c>
      <c r="G45" s="112">
        <f>G46+G98</f>
        <v>2472633.91</v>
      </c>
      <c r="H45" s="112">
        <f t="shared" si="43"/>
        <v>-8547012.9700000007</v>
      </c>
      <c r="I45" s="129">
        <f>G45/E45*100</f>
        <v>22.438413289700627</v>
      </c>
      <c r="J45" s="94"/>
    </row>
    <row r="46" spans="1:10" x14ac:dyDescent="0.25">
      <c r="A46" s="97">
        <v>3</v>
      </c>
      <c r="B46" s="97" t="s">
        <v>35</v>
      </c>
      <c r="C46" s="116">
        <f>C47+C54+C85+C89+C95</f>
        <v>1316528.32</v>
      </c>
      <c r="D46" s="116">
        <f>D47+D54+D85+D89+D95</f>
        <v>1515381.3599999999</v>
      </c>
      <c r="E46" s="116">
        <f t="shared" ref="E46" si="44">E47+E54+E85</f>
        <v>1818492.46</v>
      </c>
      <c r="F46" s="116">
        <f>F47+F54+F85+F89+F95</f>
        <v>303111.10000000003</v>
      </c>
      <c r="G46" s="116">
        <f>G47+G54+G85+G89+G95</f>
        <v>1660120.87</v>
      </c>
      <c r="H46" s="116">
        <f>H47+H54+H85+H89+H95</f>
        <v>-158371.59000000003</v>
      </c>
      <c r="I46" s="131">
        <f t="shared" ref="I46:I109" si="45">G46/E46*100</f>
        <v>91.291050500148913</v>
      </c>
      <c r="J46" s="94"/>
    </row>
    <row r="47" spans="1:10" x14ac:dyDescent="0.25">
      <c r="A47" s="98">
        <v>31</v>
      </c>
      <c r="B47" s="99" t="s">
        <v>36</v>
      </c>
      <c r="C47" s="102">
        <f t="shared" ref="C47" si="46">C48+C50+C52</f>
        <v>986809.9</v>
      </c>
      <c r="D47" s="102">
        <f t="shared" ref="D47:E47" si="47">D48+D50+D52</f>
        <v>1085936.0899999999</v>
      </c>
      <c r="E47" s="102">
        <f t="shared" si="47"/>
        <v>1363344.55</v>
      </c>
      <c r="F47" s="102">
        <f t="shared" ref="F47" si="48">F48+F50+F52</f>
        <v>277408.46000000008</v>
      </c>
      <c r="G47" s="102">
        <f t="shared" ref="G47" si="49">G48+G50+G52</f>
        <v>1137727</v>
      </c>
      <c r="H47" s="102">
        <f t="shared" ref="H47" si="50">H48+H50+H52</f>
        <v>-225617.55000000002</v>
      </c>
      <c r="I47" s="132">
        <f t="shared" si="45"/>
        <v>83.451171605886415</v>
      </c>
      <c r="J47" s="94"/>
    </row>
    <row r="48" spans="1:10" hidden="1" x14ac:dyDescent="0.25">
      <c r="A48" s="100">
        <v>311</v>
      </c>
      <c r="B48" s="101" t="s">
        <v>210</v>
      </c>
      <c r="C48" s="103">
        <f t="shared" ref="C48" si="51">C49</f>
        <v>799427.41</v>
      </c>
      <c r="D48" s="103">
        <f t="shared" ref="D48:E48" si="52">D49</f>
        <v>882825.73</v>
      </c>
      <c r="E48" s="103">
        <f t="shared" si="52"/>
        <v>1114068.52</v>
      </c>
      <c r="F48" s="103">
        <f t="shared" ref="F48:H48" si="53">F49</f>
        <v>231242.79000000004</v>
      </c>
      <c r="G48" s="103">
        <f t="shared" si="53"/>
        <v>916845</v>
      </c>
      <c r="H48" s="103">
        <f t="shared" si="53"/>
        <v>-197223.52000000002</v>
      </c>
      <c r="I48" s="133">
        <f t="shared" si="45"/>
        <v>82.297002701413732</v>
      </c>
      <c r="J48" s="94"/>
    </row>
    <row r="49" spans="1:10" hidden="1" x14ac:dyDescent="0.25">
      <c r="A49" s="51">
        <v>3111</v>
      </c>
      <c r="B49" s="43" t="s">
        <v>211</v>
      </c>
      <c r="C49" s="104">
        <v>799427.41</v>
      </c>
      <c r="D49" s="107">
        <f>879040.94+3116+668.79</f>
        <v>882825.73</v>
      </c>
      <c r="E49" s="104">
        <v>1114068.52</v>
      </c>
      <c r="F49" s="91">
        <f>E49-D49</f>
        <v>231242.79000000004</v>
      </c>
      <c r="G49" s="91">
        <v>916845</v>
      </c>
      <c r="H49" s="91">
        <f>G49-E49</f>
        <v>-197223.52000000002</v>
      </c>
      <c r="I49" s="42">
        <f t="shared" si="45"/>
        <v>82.297002701413732</v>
      </c>
      <c r="J49" s="94"/>
    </row>
    <row r="50" spans="1:10" hidden="1" x14ac:dyDescent="0.25">
      <c r="A50" s="100">
        <v>312</v>
      </c>
      <c r="B50" s="101" t="s">
        <v>212</v>
      </c>
      <c r="C50" s="103">
        <f t="shared" ref="C50" si="54">C51</f>
        <v>59086.9</v>
      </c>
      <c r="D50" s="103">
        <f t="shared" ref="D50:E50" si="55">D51</f>
        <v>60000</v>
      </c>
      <c r="E50" s="103">
        <f t="shared" si="55"/>
        <v>70000</v>
      </c>
      <c r="F50" s="103">
        <f t="shared" ref="F50:H50" si="56">F51</f>
        <v>10000</v>
      </c>
      <c r="G50" s="103">
        <f t="shared" si="56"/>
        <v>67737</v>
      </c>
      <c r="H50" s="103">
        <f t="shared" si="56"/>
        <v>-2263</v>
      </c>
      <c r="I50" s="133">
        <f t="shared" si="45"/>
        <v>96.767142857142858</v>
      </c>
      <c r="J50" s="94"/>
    </row>
    <row r="51" spans="1:10" hidden="1" x14ac:dyDescent="0.25">
      <c r="A51" s="51">
        <v>3121</v>
      </c>
      <c r="B51" s="43" t="s">
        <v>212</v>
      </c>
      <c r="C51" s="104">
        <v>59086.9</v>
      </c>
      <c r="D51" s="107">
        <v>60000</v>
      </c>
      <c r="E51" s="104">
        <v>70000</v>
      </c>
      <c r="F51" s="91">
        <f>E51-D51</f>
        <v>10000</v>
      </c>
      <c r="G51" s="91">
        <v>67737</v>
      </c>
      <c r="H51" s="91">
        <f>G51-E51</f>
        <v>-2263</v>
      </c>
      <c r="I51" s="42">
        <f t="shared" si="45"/>
        <v>96.767142857142858</v>
      </c>
      <c r="J51" s="94"/>
    </row>
    <row r="52" spans="1:10" hidden="1" x14ac:dyDescent="0.25">
      <c r="A52" s="100">
        <v>313</v>
      </c>
      <c r="B52" s="101" t="s">
        <v>213</v>
      </c>
      <c r="C52" s="103">
        <f t="shared" ref="C52:E52" si="57">C53</f>
        <v>128295.59</v>
      </c>
      <c r="D52" s="103">
        <f t="shared" si="57"/>
        <v>143110.35999999999</v>
      </c>
      <c r="E52" s="103">
        <f t="shared" si="57"/>
        <v>179276.03</v>
      </c>
      <c r="F52" s="103">
        <f>F53</f>
        <v>36165.670000000013</v>
      </c>
      <c r="G52" s="103">
        <f t="shared" ref="G52:H52" si="58">G53</f>
        <v>153145</v>
      </c>
      <c r="H52" s="103">
        <f t="shared" si="58"/>
        <v>-26131.03</v>
      </c>
      <c r="I52" s="133">
        <f t="shared" si="45"/>
        <v>85.424136177044971</v>
      </c>
      <c r="J52" s="94"/>
    </row>
    <row r="53" spans="1:10" hidden="1" x14ac:dyDescent="0.25">
      <c r="A53" s="51">
        <v>3132</v>
      </c>
      <c r="B53" s="43" t="s">
        <v>214</v>
      </c>
      <c r="C53" s="104">
        <v>128295.59</v>
      </c>
      <c r="D53" s="107">
        <f>143000+110.36</f>
        <v>143110.35999999999</v>
      </c>
      <c r="E53" s="107">
        <v>179276.03</v>
      </c>
      <c r="F53" s="91">
        <f>E53-D53</f>
        <v>36165.670000000013</v>
      </c>
      <c r="G53" s="91">
        <v>153145</v>
      </c>
      <c r="H53" s="91">
        <f>G53-E53</f>
        <v>-26131.03</v>
      </c>
      <c r="I53" s="42">
        <f t="shared" si="45"/>
        <v>85.424136177044971</v>
      </c>
      <c r="J53" s="94"/>
    </row>
    <row r="54" spans="1:10" x14ac:dyDescent="0.25">
      <c r="A54" s="98">
        <v>32</v>
      </c>
      <c r="B54" s="99" t="s">
        <v>37</v>
      </c>
      <c r="C54" s="102">
        <f>C55+C60+C66+C76+C78</f>
        <v>310722.72000000003</v>
      </c>
      <c r="D54" s="102">
        <f>D55+D60+D66+D76+D78</f>
        <v>419545.27</v>
      </c>
      <c r="E54" s="102">
        <f>E55+E60+E66+E76+E78</f>
        <v>453947.91</v>
      </c>
      <c r="F54" s="102">
        <f>F55+F60+F66+F76+F78</f>
        <v>34402.63999999997</v>
      </c>
      <c r="G54" s="102">
        <f t="shared" ref="G54:H54" si="59">G55+G60+G66+G76+G78</f>
        <v>461523.32</v>
      </c>
      <c r="H54" s="102">
        <f t="shared" si="59"/>
        <v>7575.41</v>
      </c>
      <c r="I54" s="132">
        <f t="shared" si="45"/>
        <v>101.66878398008265</v>
      </c>
      <c r="J54" s="94"/>
    </row>
    <row r="55" spans="1:10" hidden="1" x14ac:dyDescent="0.25">
      <c r="A55" s="100">
        <v>321</v>
      </c>
      <c r="B55" s="101" t="s">
        <v>215</v>
      </c>
      <c r="C55" s="103">
        <f>SUM(C56:C59)</f>
        <v>31087.280000000002</v>
      </c>
      <c r="D55" s="103">
        <f>SUM(D56:D59)</f>
        <v>50722.31</v>
      </c>
      <c r="E55" s="103">
        <f>SUM(E56:E59)</f>
        <v>50913.270000000004</v>
      </c>
      <c r="F55" s="103">
        <f>SUM(F56:F59)</f>
        <v>190.96000000000276</v>
      </c>
      <c r="G55" s="103">
        <f t="shared" ref="G55:H55" si="60">SUM(G56:G59)</f>
        <v>30686.9</v>
      </c>
      <c r="H55" s="103">
        <f t="shared" si="60"/>
        <v>-20226.370000000003</v>
      </c>
      <c r="I55" s="133">
        <f t="shared" si="45"/>
        <v>60.272891527100889</v>
      </c>
      <c r="J55" s="94"/>
    </row>
    <row r="56" spans="1:10" hidden="1" x14ac:dyDescent="0.25">
      <c r="A56" s="51" t="s">
        <v>143</v>
      </c>
      <c r="B56" s="44" t="s">
        <v>216</v>
      </c>
      <c r="C56" s="105">
        <v>11458.87</v>
      </c>
      <c r="D56" s="107">
        <f>10000+467.4+245.65</f>
        <v>10713.05</v>
      </c>
      <c r="E56" s="108">
        <v>10600</v>
      </c>
      <c r="F56" s="91">
        <f t="shared" ref="F56:F59" si="61">E56-D56</f>
        <v>-113.04999999999927</v>
      </c>
      <c r="G56" s="91">
        <v>13373.63</v>
      </c>
      <c r="H56" s="91">
        <f t="shared" ref="H56:H59" si="62">G56-E56</f>
        <v>2773.6299999999992</v>
      </c>
      <c r="I56" s="42">
        <f t="shared" si="45"/>
        <v>126.16632075471696</v>
      </c>
      <c r="J56" s="94"/>
    </row>
    <row r="57" spans="1:10" hidden="1" x14ac:dyDescent="0.25">
      <c r="A57" s="51" t="s">
        <v>144</v>
      </c>
      <c r="B57" s="44" t="s">
        <v>217</v>
      </c>
      <c r="C57" s="105">
        <v>15928.69</v>
      </c>
      <c r="D57" s="107">
        <f>17000+9.26</f>
        <v>17009.259999999998</v>
      </c>
      <c r="E57" s="108">
        <v>17313.27</v>
      </c>
      <c r="F57" s="91">
        <f t="shared" si="61"/>
        <v>304.01000000000204</v>
      </c>
      <c r="G57" s="91">
        <v>14313.27</v>
      </c>
      <c r="H57" s="91">
        <f t="shared" si="62"/>
        <v>-3000</v>
      </c>
      <c r="I57" s="42">
        <f t="shared" si="45"/>
        <v>82.672250822634894</v>
      </c>
      <c r="J57" s="94"/>
    </row>
    <row r="58" spans="1:10" hidden="1" x14ac:dyDescent="0.25">
      <c r="A58" s="51" t="s">
        <v>145</v>
      </c>
      <c r="B58" s="44" t="s">
        <v>218</v>
      </c>
      <c r="C58" s="105">
        <v>3607.32</v>
      </c>
      <c r="D58" s="107">
        <v>23000</v>
      </c>
      <c r="E58" s="108">
        <v>23000</v>
      </c>
      <c r="F58" s="91">
        <f t="shared" si="61"/>
        <v>0</v>
      </c>
      <c r="G58" s="91">
        <v>3000</v>
      </c>
      <c r="H58" s="91">
        <f t="shared" si="62"/>
        <v>-20000</v>
      </c>
      <c r="I58" s="42">
        <f t="shared" si="45"/>
        <v>13.043478260869565</v>
      </c>
      <c r="J58" s="94"/>
    </row>
    <row r="59" spans="1:10" hidden="1" x14ac:dyDescent="0.25">
      <c r="A59" s="51">
        <v>3214</v>
      </c>
      <c r="B59" s="44" t="s">
        <v>219</v>
      </c>
      <c r="C59" s="105">
        <v>92.4</v>
      </c>
      <c r="D59" s="107">
        <v>0</v>
      </c>
      <c r="E59" s="108">
        <v>0</v>
      </c>
      <c r="F59" s="91">
        <f t="shared" si="61"/>
        <v>0</v>
      </c>
      <c r="G59" s="91">
        <v>0</v>
      </c>
      <c r="H59" s="91">
        <f t="shared" si="62"/>
        <v>0</v>
      </c>
      <c r="I59" s="42"/>
      <c r="J59" s="94"/>
    </row>
    <row r="60" spans="1:10" hidden="1" x14ac:dyDescent="0.25">
      <c r="A60" s="100">
        <v>322</v>
      </c>
      <c r="B60" s="101" t="s">
        <v>220</v>
      </c>
      <c r="C60" s="103">
        <f t="shared" ref="C60:E60" si="63">SUM(C61:C65)</f>
        <v>39844.85</v>
      </c>
      <c r="D60" s="103">
        <f t="shared" si="63"/>
        <v>34467.4</v>
      </c>
      <c r="E60" s="103">
        <f t="shared" si="63"/>
        <v>54549.53</v>
      </c>
      <c r="F60" s="103">
        <f>SUM(F61:F65)</f>
        <v>20082.129999999997</v>
      </c>
      <c r="G60" s="103">
        <f t="shared" ref="G60:H60" si="64">SUM(G61:G65)</f>
        <v>43258.39</v>
      </c>
      <c r="H60" s="103">
        <f t="shared" si="64"/>
        <v>-11291.14</v>
      </c>
      <c r="I60" s="133">
        <f t="shared" si="45"/>
        <v>79.30112321774358</v>
      </c>
      <c r="J60" s="94"/>
    </row>
    <row r="61" spans="1:10" hidden="1" x14ac:dyDescent="0.25">
      <c r="A61" s="51" t="s">
        <v>146</v>
      </c>
      <c r="B61" s="44" t="s">
        <v>221</v>
      </c>
      <c r="C61" s="105">
        <v>10358.99</v>
      </c>
      <c r="D61" s="107">
        <f>7000+3000+500+467.4</f>
        <v>10967.4</v>
      </c>
      <c r="E61" s="108">
        <v>22683.14</v>
      </c>
      <c r="F61" s="91">
        <f t="shared" ref="F61:F65" si="65">E61-D61</f>
        <v>11715.74</v>
      </c>
      <c r="G61" s="91">
        <v>7992</v>
      </c>
      <c r="H61" s="91">
        <f t="shared" ref="H61:H65" si="66">G61-E61</f>
        <v>-14691.14</v>
      </c>
      <c r="I61" s="42">
        <f t="shared" si="45"/>
        <v>35.233217270624792</v>
      </c>
      <c r="J61" s="94"/>
    </row>
    <row r="62" spans="1:10" hidden="1" x14ac:dyDescent="0.25">
      <c r="A62" s="51" t="s">
        <v>147</v>
      </c>
      <c r="B62" s="44" t="s">
        <v>222</v>
      </c>
      <c r="C62" s="105">
        <v>23669.72</v>
      </c>
      <c r="D62" s="107">
        <f>6000+4000+10000</f>
        <v>20000</v>
      </c>
      <c r="E62" s="108">
        <v>28366.39</v>
      </c>
      <c r="F62" s="91">
        <f t="shared" si="65"/>
        <v>8366.39</v>
      </c>
      <c r="G62" s="91">
        <v>28866.39</v>
      </c>
      <c r="H62" s="91">
        <f t="shared" si="66"/>
        <v>500</v>
      </c>
      <c r="I62" s="42">
        <f t="shared" si="45"/>
        <v>101.76264938894232</v>
      </c>
      <c r="J62" s="94"/>
    </row>
    <row r="63" spans="1:10" hidden="1" x14ac:dyDescent="0.25">
      <c r="A63" s="51" t="s">
        <v>148</v>
      </c>
      <c r="B63" s="44" t="s">
        <v>223</v>
      </c>
      <c r="C63" s="105">
        <v>3918.89</v>
      </c>
      <c r="D63" s="107">
        <v>500</v>
      </c>
      <c r="E63" s="108">
        <v>500</v>
      </c>
      <c r="F63" s="91">
        <f t="shared" si="65"/>
        <v>0</v>
      </c>
      <c r="G63" s="91">
        <v>3000</v>
      </c>
      <c r="H63" s="91">
        <f t="shared" si="66"/>
        <v>2500</v>
      </c>
      <c r="I63" s="42">
        <f t="shared" si="45"/>
        <v>600</v>
      </c>
      <c r="J63" s="94"/>
    </row>
    <row r="64" spans="1:10" hidden="1" x14ac:dyDescent="0.25">
      <c r="A64" s="51" t="s">
        <v>149</v>
      </c>
      <c r="B64" s="44" t="s">
        <v>224</v>
      </c>
      <c r="C64" s="105">
        <v>1897.25</v>
      </c>
      <c r="D64" s="107">
        <v>2500</v>
      </c>
      <c r="E64" s="108">
        <v>2500</v>
      </c>
      <c r="F64" s="91">
        <f t="shared" si="65"/>
        <v>0</v>
      </c>
      <c r="G64" s="91">
        <v>2900</v>
      </c>
      <c r="H64" s="91">
        <f t="shared" si="66"/>
        <v>400</v>
      </c>
      <c r="I64" s="42">
        <f t="shared" si="45"/>
        <v>115.99999999999999</v>
      </c>
      <c r="J64" s="94"/>
    </row>
    <row r="65" spans="1:10" hidden="1" x14ac:dyDescent="0.25">
      <c r="A65" s="51" t="s">
        <v>150</v>
      </c>
      <c r="B65" s="44" t="s">
        <v>225</v>
      </c>
      <c r="C65" s="105">
        <v>0</v>
      </c>
      <c r="D65" s="107">
        <v>500</v>
      </c>
      <c r="E65" s="108">
        <v>500</v>
      </c>
      <c r="F65" s="91">
        <f t="shared" si="65"/>
        <v>0</v>
      </c>
      <c r="G65" s="91">
        <v>500</v>
      </c>
      <c r="H65" s="91">
        <f t="shared" si="66"/>
        <v>0</v>
      </c>
      <c r="I65" s="42">
        <f t="shared" si="45"/>
        <v>100</v>
      </c>
      <c r="J65" s="94"/>
    </row>
    <row r="66" spans="1:10" hidden="1" x14ac:dyDescent="0.25">
      <c r="A66" s="100">
        <v>323</v>
      </c>
      <c r="B66" s="101" t="s">
        <v>226</v>
      </c>
      <c r="C66" s="103">
        <f t="shared" ref="C66:E66" si="67">SUM(C67:C75)</f>
        <v>213446.63999999998</v>
      </c>
      <c r="D66" s="103">
        <f t="shared" si="67"/>
        <v>306355.56</v>
      </c>
      <c r="E66" s="103">
        <f t="shared" si="67"/>
        <v>311332</v>
      </c>
      <c r="F66" s="103">
        <f>SUM(F67:F75)</f>
        <v>4976.4399999999732</v>
      </c>
      <c r="G66" s="103">
        <f t="shared" ref="G66:H66" si="68">SUM(G67:G75)</f>
        <v>340760.82999999996</v>
      </c>
      <c r="H66" s="103">
        <f t="shared" si="68"/>
        <v>29428.83</v>
      </c>
      <c r="I66" s="133">
        <f t="shared" si="45"/>
        <v>109.45255547132963</v>
      </c>
      <c r="J66" s="94"/>
    </row>
    <row r="67" spans="1:10" hidden="1" x14ac:dyDescent="0.25">
      <c r="A67" s="51" t="s">
        <v>151</v>
      </c>
      <c r="B67" s="44" t="s">
        <v>227</v>
      </c>
      <c r="C67" s="105">
        <v>3984.92</v>
      </c>
      <c r="D67" s="107">
        <v>3500</v>
      </c>
      <c r="E67" s="108">
        <v>3500</v>
      </c>
      <c r="F67" s="91">
        <f t="shared" ref="F67:F75" si="69">E67-D67</f>
        <v>0</v>
      </c>
      <c r="G67" s="91">
        <v>3500</v>
      </c>
      <c r="H67" s="91">
        <f t="shared" ref="H67:H75" si="70">G67-E67</f>
        <v>0</v>
      </c>
      <c r="I67" s="42">
        <f t="shared" si="45"/>
        <v>100</v>
      </c>
      <c r="J67" s="94"/>
    </row>
    <row r="68" spans="1:10" hidden="1" x14ac:dyDescent="0.25">
      <c r="A68" s="51" t="s">
        <v>152</v>
      </c>
      <c r="B68" s="44" t="s">
        <v>228</v>
      </c>
      <c r="C68" s="105">
        <v>15605.27</v>
      </c>
      <c r="D68" s="107">
        <v>28000</v>
      </c>
      <c r="E68" s="108">
        <v>28000</v>
      </c>
      <c r="F68" s="91">
        <f t="shared" si="69"/>
        <v>0</v>
      </c>
      <c r="G68" s="91">
        <v>63080</v>
      </c>
      <c r="H68" s="91">
        <f t="shared" si="70"/>
        <v>35080</v>
      </c>
      <c r="I68" s="42">
        <f t="shared" si="45"/>
        <v>225.28571428571428</v>
      </c>
      <c r="J68" s="94"/>
    </row>
    <row r="69" spans="1:10" hidden="1" x14ac:dyDescent="0.25">
      <c r="A69" s="51" t="s">
        <v>153</v>
      </c>
      <c r="B69" s="44" t="s">
        <v>229</v>
      </c>
      <c r="C69" s="105">
        <v>27231.41</v>
      </c>
      <c r="D69" s="107">
        <f>16500+10000+8000+500+12.36</f>
        <v>35012.36</v>
      </c>
      <c r="E69" s="108">
        <v>50500</v>
      </c>
      <c r="F69" s="91">
        <f t="shared" si="69"/>
        <v>15487.64</v>
      </c>
      <c r="G69" s="91">
        <v>50297.75</v>
      </c>
      <c r="H69" s="91">
        <f t="shared" si="70"/>
        <v>-202.25</v>
      </c>
      <c r="I69" s="42">
        <f t="shared" si="45"/>
        <v>99.59950495049506</v>
      </c>
      <c r="J69" s="94"/>
    </row>
    <row r="70" spans="1:10" hidden="1" x14ac:dyDescent="0.25">
      <c r="A70" s="51" t="s">
        <v>154</v>
      </c>
      <c r="B70" s="44" t="s">
        <v>230</v>
      </c>
      <c r="C70" s="105">
        <v>15373.35</v>
      </c>
      <c r="D70" s="107">
        <f>8000+10000</f>
        <v>18000</v>
      </c>
      <c r="E70" s="108">
        <v>18000</v>
      </c>
      <c r="F70" s="91">
        <f t="shared" si="69"/>
        <v>0</v>
      </c>
      <c r="G70" s="91">
        <v>15000</v>
      </c>
      <c r="H70" s="91">
        <f t="shared" si="70"/>
        <v>-3000</v>
      </c>
      <c r="I70" s="42">
        <f t="shared" si="45"/>
        <v>83.333333333333343</v>
      </c>
      <c r="J70" s="94"/>
    </row>
    <row r="71" spans="1:10" hidden="1" x14ac:dyDescent="0.25">
      <c r="A71" s="51" t="s">
        <v>155</v>
      </c>
      <c r="B71" s="44" t="s">
        <v>231</v>
      </c>
      <c r="C71" s="105">
        <v>19687.39</v>
      </c>
      <c r="D71" s="107">
        <f>5000+10000</f>
        <v>15000</v>
      </c>
      <c r="E71" s="108">
        <v>15000</v>
      </c>
      <c r="F71" s="91">
        <f t="shared" si="69"/>
        <v>0</v>
      </c>
      <c r="G71" s="91">
        <v>16000</v>
      </c>
      <c r="H71" s="91">
        <f t="shared" si="70"/>
        <v>1000</v>
      </c>
      <c r="I71" s="42">
        <f t="shared" si="45"/>
        <v>106.66666666666667</v>
      </c>
      <c r="J71" s="94"/>
    </row>
    <row r="72" spans="1:10" hidden="1" x14ac:dyDescent="0.25">
      <c r="A72" s="51" t="s">
        <v>156</v>
      </c>
      <c r="B72" s="44" t="s">
        <v>232</v>
      </c>
      <c r="C72" s="105">
        <v>313.75</v>
      </c>
      <c r="D72" s="107">
        <f>6000</f>
        <v>6000</v>
      </c>
      <c r="E72" s="108">
        <v>6000</v>
      </c>
      <c r="F72" s="91">
        <f t="shared" si="69"/>
        <v>0</v>
      </c>
      <c r="G72" s="91">
        <v>6200</v>
      </c>
      <c r="H72" s="91">
        <f t="shared" si="70"/>
        <v>200</v>
      </c>
      <c r="I72" s="42">
        <f t="shared" si="45"/>
        <v>103.33333333333334</v>
      </c>
      <c r="J72" s="94"/>
    </row>
    <row r="73" spans="1:10" hidden="1" x14ac:dyDescent="0.25">
      <c r="A73" s="51" t="s">
        <v>157</v>
      </c>
      <c r="B73" s="44" t="s">
        <v>233</v>
      </c>
      <c r="C73" s="105">
        <v>90701.84</v>
      </c>
      <c r="D73" s="107">
        <f>43000+22000+7000+15000+49463.2+1200+30000</f>
        <v>167663.20000000001</v>
      </c>
      <c r="E73" s="108">
        <v>143199.85999999999</v>
      </c>
      <c r="F73" s="91">
        <f t="shared" si="69"/>
        <v>-24463.340000000026</v>
      </c>
      <c r="G73" s="91">
        <v>145483.07999999999</v>
      </c>
      <c r="H73" s="91">
        <f t="shared" si="70"/>
        <v>2283.2200000000012</v>
      </c>
      <c r="I73" s="42">
        <f t="shared" si="45"/>
        <v>101.59442893310091</v>
      </c>
      <c r="J73" s="94"/>
    </row>
    <row r="74" spans="1:10" hidden="1" x14ac:dyDescent="0.25">
      <c r="A74" s="51" t="s">
        <v>158</v>
      </c>
      <c r="B74" s="44" t="s">
        <v>234</v>
      </c>
      <c r="C74" s="105">
        <v>31259.81</v>
      </c>
      <c r="D74" s="107">
        <f>6680+17500</f>
        <v>24180</v>
      </c>
      <c r="E74" s="108">
        <v>24180</v>
      </c>
      <c r="F74" s="91">
        <f t="shared" si="69"/>
        <v>0</v>
      </c>
      <c r="G74" s="91">
        <v>34000</v>
      </c>
      <c r="H74" s="91">
        <f t="shared" si="70"/>
        <v>9820</v>
      </c>
      <c r="I74" s="42">
        <f t="shared" si="45"/>
        <v>140.61207609594706</v>
      </c>
      <c r="J74" s="94"/>
    </row>
    <row r="75" spans="1:10" hidden="1" x14ac:dyDescent="0.25">
      <c r="A75" s="51" t="s">
        <v>159</v>
      </c>
      <c r="B75" s="44" t="s">
        <v>235</v>
      </c>
      <c r="C75" s="105">
        <v>9288.9</v>
      </c>
      <c r="D75" s="107">
        <f>3000+6000</f>
        <v>9000</v>
      </c>
      <c r="E75" s="108">
        <v>22952.14</v>
      </c>
      <c r="F75" s="91">
        <f t="shared" si="69"/>
        <v>13952.14</v>
      </c>
      <c r="G75" s="91">
        <v>7200</v>
      </c>
      <c r="H75" s="91">
        <f t="shared" si="70"/>
        <v>-15752.14</v>
      </c>
      <c r="I75" s="42">
        <f t="shared" si="45"/>
        <v>31.3696239217781</v>
      </c>
      <c r="J75" s="94"/>
    </row>
    <row r="76" spans="1:10" hidden="1" x14ac:dyDescent="0.25">
      <c r="A76" s="100">
        <v>324</v>
      </c>
      <c r="B76" s="101" t="s">
        <v>236</v>
      </c>
      <c r="C76" s="103">
        <f t="shared" ref="C76:E76" si="71">C77</f>
        <v>10471.15</v>
      </c>
      <c r="D76" s="103">
        <f t="shared" si="71"/>
        <v>6500</v>
      </c>
      <c r="E76" s="103">
        <f t="shared" si="71"/>
        <v>13300</v>
      </c>
      <c r="F76" s="103">
        <f>F77</f>
        <v>6800</v>
      </c>
      <c r="G76" s="103">
        <f t="shared" ref="G76:H76" si="72">G77</f>
        <v>22587.200000000001</v>
      </c>
      <c r="H76" s="103">
        <f t="shared" si="72"/>
        <v>9287.2000000000007</v>
      </c>
      <c r="I76" s="133">
        <f t="shared" si="45"/>
        <v>169.82857142857145</v>
      </c>
      <c r="J76" s="94"/>
    </row>
    <row r="77" spans="1:10" hidden="1" x14ac:dyDescent="0.25">
      <c r="A77" s="51" t="s">
        <v>160</v>
      </c>
      <c r="B77" s="44" t="s">
        <v>236</v>
      </c>
      <c r="C77" s="105">
        <v>10471.15</v>
      </c>
      <c r="D77" s="107">
        <f>3000+3500</f>
        <v>6500</v>
      </c>
      <c r="E77" s="108">
        <v>13300</v>
      </c>
      <c r="F77" s="91">
        <f>E77-D77</f>
        <v>6800</v>
      </c>
      <c r="G77" s="91">
        <v>22587.200000000001</v>
      </c>
      <c r="H77" s="91">
        <f>G77-E77</f>
        <v>9287.2000000000007</v>
      </c>
      <c r="I77" s="42">
        <f t="shared" si="45"/>
        <v>169.82857142857145</v>
      </c>
      <c r="J77" s="94"/>
    </row>
    <row r="78" spans="1:10" hidden="1" x14ac:dyDescent="0.25">
      <c r="A78" s="100">
        <v>329</v>
      </c>
      <c r="B78" s="101" t="s">
        <v>237</v>
      </c>
      <c r="C78" s="103">
        <f t="shared" ref="C78:E78" si="73">SUM(C79:C84)</f>
        <v>15872.799999999997</v>
      </c>
      <c r="D78" s="103">
        <f t="shared" si="73"/>
        <v>21500</v>
      </c>
      <c r="E78" s="103">
        <f t="shared" si="73"/>
        <v>23853.11</v>
      </c>
      <c r="F78" s="103">
        <f>SUM(F79:F84)</f>
        <v>2353.1100000000006</v>
      </c>
      <c r="G78" s="103">
        <f t="shared" ref="G78:H78" si="74">SUM(G79:G84)</f>
        <v>24230</v>
      </c>
      <c r="H78" s="103">
        <f t="shared" si="74"/>
        <v>376.88999999999942</v>
      </c>
      <c r="I78" s="133">
        <f t="shared" si="45"/>
        <v>101.58004553703898</v>
      </c>
      <c r="J78" s="94"/>
    </row>
    <row r="79" spans="1:10" hidden="1" x14ac:dyDescent="0.25">
      <c r="A79" s="51" t="s">
        <v>161</v>
      </c>
      <c r="B79" s="44" t="s">
        <v>238</v>
      </c>
      <c r="C79" s="105">
        <v>5967.98</v>
      </c>
      <c r="D79" s="107">
        <v>5000</v>
      </c>
      <c r="E79" s="108">
        <v>5000</v>
      </c>
      <c r="F79" s="91">
        <f t="shared" ref="F79:F84" si="75">E79-D79</f>
        <v>0</v>
      </c>
      <c r="G79" s="91">
        <v>9000</v>
      </c>
      <c r="H79" s="91">
        <f t="shared" ref="H79:H84" si="76">G79-E79</f>
        <v>4000</v>
      </c>
      <c r="I79" s="42">
        <f t="shared" si="45"/>
        <v>180</v>
      </c>
      <c r="J79" s="94"/>
    </row>
    <row r="80" spans="1:10" hidden="1" x14ac:dyDescent="0.25">
      <c r="A80" s="51" t="s">
        <v>162</v>
      </c>
      <c r="B80" s="44" t="s">
        <v>239</v>
      </c>
      <c r="C80" s="105">
        <v>2195.46</v>
      </c>
      <c r="D80" s="107">
        <v>2300</v>
      </c>
      <c r="E80" s="108">
        <v>2300</v>
      </c>
      <c r="F80" s="91">
        <f t="shared" si="75"/>
        <v>0</v>
      </c>
      <c r="G80" s="91">
        <v>1630</v>
      </c>
      <c r="H80" s="91">
        <f t="shared" si="76"/>
        <v>-670</v>
      </c>
      <c r="I80" s="42">
        <f t="shared" si="45"/>
        <v>70.869565217391312</v>
      </c>
      <c r="J80" s="94"/>
    </row>
    <row r="81" spans="1:10" hidden="1" x14ac:dyDescent="0.25">
      <c r="A81" s="51" t="s">
        <v>163</v>
      </c>
      <c r="B81" s="44" t="s">
        <v>240</v>
      </c>
      <c r="C81" s="105">
        <v>4409.43</v>
      </c>
      <c r="D81" s="107">
        <f>5000+5000+200</f>
        <v>10200</v>
      </c>
      <c r="E81" s="108">
        <v>12653.11</v>
      </c>
      <c r="F81" s="91">
        <f t="shared" si="75"/>
        <v>2453.1100000000006</v>
      </c>
      <c r="G81" s="91">
        <v>8500</v>
      </c>
      <c r="H81" s="91">
        <f t="shared" si="76"/>
        <v>-4153.1100000000006</v>
      </c>
      <c r="I81" s="42">
        <f t="shared" si="45"/>
        <v>67.177160397720399</v>
      </c>
      <c r="J81" s="94"/>
    </row>
    <row r="82" spans="1:10" hidden="1" x14ac:dyDescent="0.25">
      <c r="A82" s="51" t="s">
        <v>164</v>
      </c>
      <c r="B82" s="44" t="s">
        <v>241</v>
      </c>
      <c r="C82" s="105">
        <v>479.96</v>
      </c>
      <c r="D82" s="107">
        <v>1500</v>
      </c>
      <c r="E82" s="108">
        <v>1500</v>
      </c>
      <c r="F82" s="91">
        <f t="shared" si="75"/>
        <v>0</v>
      </c>
      <c r="G82" s="91">
        <v>1000</v>
      </c>
      <c r="H82" s="91">
        <f t="shared" si="76"/>
        <v>-500</v>
      </c>
      <c r="I82" s="42">
        <f t="shared" si="45"/>
        <v>66.666666666666657</v>
      </c>
      <c r="J82" s="94"/>
    </row>
    <row r="83" spans="1:10" hidden="1" x14ac:dyDescent="0.25">
      <c r="A83" s="51" t="s">
        <v>165</v>
      </c>
      <c r="B83" s="44" t="s">
        <v>242</v>
      </c>
      <c r="C83" s="105">
        <v>2366.16</v>
      </c>
      <c r="D83" s="107">
        <v>2300</v>
      </c>
      <c r="E83" s="108">
        <v>2300</v>
      </c>
      <c r="F83" s="91">
        <f t="shared" si="75"/>
        <v>0</v>
      </c>
      <c r="G83" s="91">
        <v>4000</v>
      </c>
      <c r="H83" s="91">
        <f t="shared" si="76"/>
        <v>1700</v>
      </c>
      <c r="I83" s="42">
        <f t="shared" si="45"/>
        <v>173.91304347826087</v>
      </c>
      <c r="J83" s="94"/>
    </row>
    <row r="84" spans="1:10" hidden="1" x14ac:dyDescent="0.25">
      <c r="A84" s="51" t="s">
        <v>166</v>
      </c>
      <c r="B84" s="44" t="s">
        <v>237</v>
      </c>
      <c r="C84" s="105">
        <v>453.81</v>
      </c>
      <c r="D84" s="107">
        <f>100+100</f>
        <v>200</v>
      </c>
      <c r="E84" s="108">
        <v>100</v>
      </c>
      <c r="F84" s="91">
        <f t="shared" si="75"/>
        <v>-100</v>
      </c>
      <c r="G84" s="91">
        <v>100</v>
      </c>
      <c r="H84" s="91">
        <f t="shared" si="76"/>
        <v>0</v>
      </c>
      <c r="I84" s="42">
        <f t="shared" si="45"/>
        <v>100</v>
      </c>
      <c r="J84" s="94"/>
    </row>
    <row r="85" spans="1:10" x14ac:dyDescent="0.25">
      <c r="A85" s="98">
        <v>34</v>
      </c>
      <c r="B85" s="99" t="s">
        <v>243</v>
      </c>
      <c r="C85" s="102">
        <f t="shared" ref="C85:E85" si="77">C86</f>
        <v>1308.9699999999998</v>
      </c>
      <c r="D85" s="102">
        <f t="shared" si="77"/>
        <v>1200</v>
      </c>
      <c r="E85" s="102">
        <f t="shared" si="77"/>
        <v>1200</v>
      </c>
      <c r="F85" s="102">
        <f>F86</f>
        <v>0</v>
      </c>
      <c r="G85" s="102">
        <f>G86</f>
        <v>1200</v>
      </c>
      <c r="H85" s="102">
        <f>H86</f>
        <v>0</v>
      </c>
      <c r="I85" s="132">
        <f t="shared" si="45"/>
        <v>100</v>
      </c>
      <c r="J85" s="94"/>
    </row>
    <row r="86" spans="1:10" hidden="1" x14ac:dyDescent="0.25">
      <c r="A86" s="100">
        <v>343</v>
      </c>
      <c r="B86" s="101" t="s">
        <v>244</v>
      </c>
      <c r="C86" s="103">
        <f t="shared" ref="C86:E86" si="78">C87+C88</f>
        <v>1308.9699999999998</v>
      </c>
      <c r="D86" s="103">
        <f t="shared" ref="D86" si="79">D87+D88</f>
        <v>1200</v>
      </c>
      <c r="E86" s="103">
        <f t="shared" si="78"/>
        <v>1200</v>
      </c>
      <c r="F86" s="103">
        <f>F87+F88</f>
        <v>0</v>
      </c>
      <c r="G86" s="103">
        <f t="shared" ref="G86:H86" si="80">G87+G88</f>
        <v>1200</v>
      </c>
      <c r="H86" s="103">
        <f t="shared" si="80"/>
        <v>0</v>
      </c>
      <c r="I86" s="133">
        <f t="shared" si="45"/>
        <v>100</v>
      </c>
      <c r="J86" s="94"/>
    </row>
    <row r="87" spans="1:10" hidden="1" x14ac:dyDescent="0.25">
      <c r="A87" s="51" t="s">
        <v>167</v>
      </c>
      <c r="B87" s="44" t="s">
        <v>245</v>
      </c>
      <c r="C87" s="105">
        <v>1180.3499999999999</v>
      </c>
      <c r="D87" s="107">
        <v>1200</v>
      </c>
      <c r="E87" s="108">
        <v>1200</v>
      </c>
      <c r="F87" s="91">
        <f t="shared" ref="F87:F88" si="81">E87-D87</f>
        <v>0</v>
      </c>
      <c r="G87" s="91">
        <v>1200</v>
      </c>
      <c r="H87" s="91">
        <f t="shared" ref="H87:H88" si="82">G87-E87</f>
        <v>0</v>
      </c>
      <c r="I87" s="42">
        <f t="shared" si="45"/>
        <v>100</v>
      </c>
      <c r="J87" s="94"/>
    </row>
    <row r="88" spans="1:10" hidden="1" x14ac:dyDescent="0.25">
      <c r="A88" s="51">
        <v>3433</v>
      </c>
      <c r="B88" s="44" t="s">
        <v>246</v>
      </c>
      <c r="C88" s="105">
        <v>128.62</v>
      </c>
      <c r="D88" s="105">
        <v>0</v>
      </c>
      <c r="E88" s="108">
        <v>0</v>
      </c>
      <c r="F88" s="91">
        <f t="shared" si="81"/>
        <v>0</v>
      </c>
      <c r="G88" s="91">
        <v>0</v>
      </c>
      <c r="H88" s="91">
        <f t="shared" si="82"/>
        <v>0</v>
      </c>
      <c r="I88" s="42"/>
      <c r="J88" s="94"/>
    </row>
    <row r="89" spans="1:10" x14ac:dyDescent="0.25">
      <c r="A89" s="98">
        <v>36</v>
      </c>
      <c r="B89" s="99" t="s">
        <v>247</v>
      </c>
      <c r="C89" s="102">
        <f t="shared" ref="C89:H90" si="83">C90</f>
        <v>9145</v>
      </c>
      <c r="D89" s="102">
        <f t="shared" si="83"/>
        <v>0</v>
      </c>
      <c r="E89" s="102">
        <f t="shared" si="83"/>
        <v>0</v>
      </c>
      <c r="F89" s="102">
        <f>F90</f>
        <v>0</v>
      </c>
      <c r="G89" s="102">
        <f>G90+G92</f>
        <v>59670.55</v>
      </c>
      <c r="H89" s="102">
        <f>H90+H92</f>
        <v>59670.55</v>
      </c>
      <c r="I89" s="132"/>
      <c r="J89" s="94"/>
    </row>
    <row r="90" spans="1:10" hidden="1" x14ac:dyDescent="0.25">
      <c r="A90" s="100">
        <v>368</v>
      </c>
      <c r="B90" s="101" t="s">
        <v>192</v>
      </c>
      <c r="C90" s="103">
        <f>C91</f>
        <v>9145</v>
      </c>
      <c r="D90" s="103">
        <f t="shared" si="83"/>
        <v>0</v>
      </c>
      <c r="E90" s="103">
        <f t="shared" si="83"/>
        <v>0</v>
      </c>
      <c r="F90" s="103">
        <f t="shared" si="83"/>
        <v>0</v>
      </c>
      <c r="G90" s="103">
        <f t="shared" si="83"/>
        <v>0</v>
      </c>
      <c r="H90" s="103">
        <f t="shared" si="83"/>
        <v>0</v>
      </c>
      <c r="I90" s="133"/>
      <c r="J90" s="94"/>
    </row>
    <row r="91" spans="1:10" hidden="1" x14ac:dyDescent="0.25">
      <c r="A91" s="51">
        <v>3681</v>
      </c>
      <c r="B91" s="44" t="s">
        <v>248</v>
      </c>
      <c r="C91" s="105">
        <v>9145</v>
      </c>
      <c r="D91" s="105">
        <v>0</v>
      </c>
      <c r="E91" s="108">
        <v>0</v>
      </c>
      <c r="F91" s="91">
        <f>E91-D91</f>
        <v>0</v>
      </c>
      <c r="G91" s="91">
        <v>0</v>
      </c>
      <c r="H91" s="91">
        <f>G91-E91</f>
        <v>0</v>
      </c>
      <c r="I91" s="42"/>
      <c r="J91" s="94"/>
    </row>
    <row r="92" spans="1:10" hidden="1" x14ac:dyDescent="0.25">
      <c r="A92" s="100">
        <v>369</v>
      </c>
      <c r="B92" s="101" t="s">
        <v>272</v>
      </c>
      <c r="C92" s="103">
        <f t="shared" ref="C92:F92" si="84">C93+C94</f>
        <v>0</v>
      </c>
      <c r="D92" s="103">
        <f t="shared" si="84"/>
        <v>0</v>
      </c>
      <c r="E92" s="103">
        <f t="shared" si="84"/>
        <v>0</v>
      </c>
      <c r="F92" s="103">
        <f t="shared" si="84"/>
        <v>0</v>
      </c>
      <c r="G92" s="103">
        <f>G93+G94</f>
        <v>59670.55</v>
      </c>
      <c r="H92" s="103">
        <f>H93+H94</f>
        <v>59670.55</v>
      </c>
      <c r="I92" s="133"/>
      <c r="J92" s="94"/>
    </row>
    <row r="93" spans="1:10" hidden="1" x14ac:dyDescent="0.25">
      <c r="A93" s="51">
        <v>3691</v>
      </c>
      <c r="B93" s="44" t="s">
        <v>292</v>
      </c>
      <c r="C93" s="105">
        <v>0</v>
      </c>
      <c r="D93" s="105">
        <v>0</v>
      </c>
      <c r="E93" s="105">
        <v>0</v>
      </c>
      <c r="F93" s="91">
        <f t="shared" ref="F93:F94" si="85">E93-D93</f>
        <v>0</v>
      </c>
      <c r="G93" s="91">
        <v>16509.919999999998</v>
      </c>
      <c r="H93" s="91">
        <f t="shared" ref="H93:H94" si="86">G93-E93</f>
        <v>16509.919999999998</v>
      </c>
      <c r="I93" s="42"/>
      <c r="J93" s="94"/>
    </row>
    <row r="94" spans="1:10" hidden="1" x14ac:dyDescent="0.25">
      <c r="A94" s="51">
        <v>3693</v>
      </c>
      <c r="B94" s="44" t="s">
        <v>273</v>
      </c>
      <c r="C94" s="105">
        <v>0</v>
      </c>
      <c r="D94" s="105">
        <v>0</v>
      </c>
      <c r="E94" s="105">
        <v>0</v>
      </c>
      <c r="F94" s="91">
        <f t="shared" si="85"/>
        <v>0</v>
      </c>
      <c r="G94" s="91">
        <v>43160.630000000005</v>
      </c>
      <c r="H94" s="91">
        <f t="shared" si="86"/>
        <v>43160.630000000005</v>
      </c>
      <c r="I94" s="42"/>
      <c r="J94" s="94"/>
    </row>
    <row r="95" spans="1:10" x14ac:dyDescent="0.25">
      <c r="A95" s="98">
        <v>37</v>
      </c>
      <c r="B95" s="99" t="s">
        <v>249</v>
      </c>
      <c r="C95" s="102">
        <f t="shared" ref="C95" si="87">C96</f>
        <v>8541.73</v>
      </c>
      <c r="D95" s="102">
        <f t="shared" ref="D95:E96" si="88">D96</f>
        <v>8700</v>
      </c>
      <c r="E95" s="102">
        <f t="shared" si="88"/>
        <v>0</v>
      </c>
      <c r="F95" s="102">
        <f t="shared" ref="F95:F96" si="89">F96</f>
        <v>-8700</v>
      </c>
      <c r="G95" s="102">
        <f t="shared" ref="G95:G96" si="90">G96</f>
        <v>0</v>
      </c>
      <c r="H95" s="102">
        <f t="shared" ref="H95:H96" si="91">H96</f>
        <v>0</v>
      </c>
      <c r="I95" s="132"/>
      <c r="J95" s="94"/>
    </row>
    <row r="96" spans="1:10" hidden="1" x14ac:dyDescent="0.25">
      <c r="A96" s="100">
        <v>372</v>
      </c>
      <c r="B96" s="101" t="s">
        <v>250</v>
      </c>
      <c r="C96" s="103">
        <f>C97</f>
        <v>8541.73</v>
      </c>
      <c r="D96" s="103">
        <f t="shared" si="88"/>
        <v>8700</v>
      </c>
      <c r="E96" s="103">
        <f t="shared" si="88"/>
        <v>0</v>
      </c>
      <c r="F96" s="103">
        <f t="shared" si="89"/>
        <v>-8700</v>
      </c>
      <c r="G96" s="103">
        <f t="shared" si="90"/>
        <v>0</v>
      </c>
      <c r="H96" s="103">
        <f t="shared" si="91"/>
        <v>0</v>
      </c>
      <c r="I96" s="133"/>
      <c r="J96" s="94"/>
    </row>
    <row r="97" spans="1:10" hidden="1" x14ac:dyDescent="0.25">
      <c r="A97" s="51">
        <v>3721</v>
      </c>
      <c r="B97" s="44" t="s">
        <v>249</v>
      </c>
      <c r="C97" s="105">
        <v>8541.73</v>
      </c>
      <c r="D97" s="107">
        <v>8700</v>
      </c>
      <c r="E97" s="108">
        <v>0</v>
      </c>
      <c r="F97" s="91">
        <f>E97-D97</f>
        <v>-8700</v>
      </c>
      <c r="G97" s="91">
        <v>0</v>
      </c>
      <c r="H97" s="91">
        <f>G97-E97</f>
        <v>0</v>
      </c>
      <c r="I97" s="42"/>
      <c r="J97" s="94"/>
    </row>
    <row r="98" spans="1:10" x14ac:dyDescent="0.25">
      <c r="A98" s="97">
        <v>4</v>
      </c>
      <c r="B98" s="97" t="s">
        <v>38</v>
      </c>
      <c r="C98" s="116">
        <f t="shared" ref="C98:E98" si="92">C99+C102</f>
        <v>72737</v>
      </c>
      <c r="D98" s="116">
        <f t="shared" ref="D98" si="93">D99+D102</f>
        <v>145265.64000000001</v>
      </c>
      <c r="E98" s="116">
        <f t="shared" si="92"/>
        <v>9201154.4199999999</v>
      </c>
      <c r="F98" s="116">
        <f>F99+F102</f>
        <v>9055888.7800000012</v>
      </c>
      <c r="G98" s="116">
        <f>G99+G102</f>
        <v>812513.04</v>
      </c>
      <c r="H98" s="116">
        <f t="shared" ref="H98" si="94">H99+H102</f>
        <v>-8388641.3800000008</v>
      </c>
      <c r="I98" s="131">
        <f t="shared" si="45"/>
        <v>8.8305554163278579</v>
      </c>
      <c r="J98" s="94"/>
    </row>
    <row r="99" spans="1:10" x14ac:dyDescent="0.25">
      <c r="A99" s="98">
        <v>41</v>
      </c>
      <c r="B99" s="99" t="s">
        <v>39</v>
      </c>
      <c r="C99" s="102">
        <f t="shared" ref="C99:E100" si="95">C100</f>
        <v>1738.75</v>
      </c>
      <c r="D99" s="102">
        <f t="shared" si="95"/>
        <v>0</v>
      </c>
      <c r="E99" s="102">
        <f t="shared" si="95"/>
        <v>0</v>
      </c>
      <c r="F99" s="102">
        <f>F100</f>
        <v>0</v>
      </c>
      <c r="G99" s="102">
        <f t="shared" ref="G99:H99" si="96">G100</f>
        <v>0</v>
      </c>
      <c r="H99" s="102">
        <f t="shared" si="96"/>
        <v>0</v>
      </c>
      <c r="I99" s="132"/>
      <c r="J99" s="94"/>
    </row>
    <row r="100" spans="1:10" hidden="1" x14ac:dyDescent="0.25">
      <c r="A100" s="100">
        <v>412</v>
      </c>
      <c r="B100" s="101" t="s">
        <v>251</v>
      </c>
      <c r="C100" s="103">
        <f t="shared" si="95"/>
        <v>1738.75</v>
      </c>
      <c r="D100" s="103">
        <f t="shared" si="95"/>
        <v>0</v>
      </c>
      <c r="E100" s="103">
        <f t="shared" si="95"/>
        <v>0</v>
      </c>
      <c r="F100" s="103">
        <f>F101</f>
        <v>0</v>
      </c>
      <c r="G100" s="103">
        <f>G101</f>
        <v>0</v>
      </c>
      <c r="H100" s="103">
        <f>H101</f>
        <v>0</v>
      </c>
      <c r="I100" s="133"/>
      <c r="J100" s="94"/>
    </row>
    <row r="101" spans="1:10" hidden="1" x14ac:dyDescent="0.25">
      <c r="A101" s="51" t="s">
        <v>168</v>
      </c>
      <c r="B101" s="48" t="s">
        <v>252</v>
      </c>
      <c r="C101" s="91">
        <v>1738.75</v>
      </c>
      <c r="D101" s="91">
        <v>0</v>
      </c>
      <c r="E101" s="104">
        <v>0</v>
      </c>
      <c r="F101" s="91">
        <f>E101-D101</f>
        <v>0</v>
      </c>
      <c r="G101" s="91">
        <v>0</v>
      </c>
      <c r="H101" s="91">
        <f>G101-E101</f>
        <v>0</v>
      </c>
      <c r="I101" s="42"/>
      <c r="J101" s="94"/>
    </row>
    <row r="102" spans="1:10" x14ac:dyDescent="0.25">
      <c r="A102" s="98">
        <v>42</v>
      </c>
      <c r="B102" s="99" t="s">
        <v>253</v>
      </c>
      <c r="C102" s="102">
        <f t="shared" ref="C102:E102" si="97">C103+C105</f>
        <v>70998.25</v>
      </c>
      <c r="D102" s="102">
        <f t="shared" ref="D102" si="98">D103+D105</f>
        <v>145265.64000000001</v>
      </c>
      <c r="E102" s="102">
        <f t="shared" si="97"/>
        <v>9201154.4199999999</v>
      </c>
      <c r="F102" s="102">
        <f>F103+F105</f>
        <v>9055888.7800000012</v>
      </c>
      <c r="G102" s="102">
        <f>G103+G105</f>
        <v>812513.04</v>
      </c>
      <c r="H102" s="102">
        <f t="shared" ref="H102" si="99">H103+H105</f>
        <v>-8388641.3800000008</v>
      </c>
      <c r="I102" s="132">
        <f t="shared" si="45"/>
        <v>8.8305554163278579</v>
      </c>
      <c r="J102" s="94"/>
    </row>
    <row r="103" spans="1:10" hidden="1" x14ac:dyDescent="0.25">
      <c r="A103" s="100">
        <v>421</v>
      </c>
      <c r="B103" s="101" t="s">
        <v>254</v>
      </c>
      <c r="C103" s="103">
        <f t="shared" ref="C103:E103" si="100">C104</f>
        <v>62327.23</v>
      </c>
      <c r="D103" s="103">
        <f t="shared" si="100"/>
        <v>145265.64000000001</v>
      </c>
      <c r="E103" s="103">
        <f t="shared" si="100"/>
        <v>4967154.42</v>
      </c>
      <c r="F103" s="103">
        <f>F104</f>
        <v>4821888.78</v>
      </c>
      <c r="G103" s="103">
        <f>G104</f>
        <v>803351.23</v>
      </c>
      <c r="H103" s="103">
        <f>H104</f>
        <v>-4163803.19</v>
      </c>
      <c r="I103" s="133">
        <f t="shared" si="45"/>
        <v>16.173268678045247</v>
      </c>
      <c r="J103" s="94"/>
    </row>
    <row r="104" spans="1:10" hidden="1" x14ac:dyDescent="0.25">
      <c r="A104" s="51" t="s">
        <v>169</v>
      </c>
      <c r="B104" s="48" t="s">
        <v>255</v>
      </c>
      <c r="C104" s="104">
        <v>62327.23</v>
      </c>
      <c r="D104" s="126">
        <v>145265.64000000001</v>
      </c>
      <c r="E104" s="104">
        <v>4967154.42</v>
      </c>
      <c r="F104" s="91">
        <f>E104-D104</f>
        <v>4821888.78</v>
      </c>
      <c r="G104" s="91">
        <v>803351.23</v>
      </c>
      <c r="H104" s="91">
        <f>G104-E104</f>
        <v>-4163803.19</v>
      </c>
      <c r="I104" s="42">
        <f t="shared" si="45"/>
        <v>16.173268678045247</v>
      </c>
      <c r="J104" s="94"/>
    </row>
    <row r="105" spans="1:10" hidden="1" x14ac:dyDescent="0.25">
      <c r="A105" s="100">
        <v>422</v>
      </c>
      <c r="B105" s="101" t="s">
        <v>256</v>
      </c>
      <c r="C105" s="103">
        <f t="shared" ref="C105:E105" si="101">SUM(C106:C110)</f>
        <v>8671.02</v>
      </c>
      <c r="D105" s="103">
        <f t="shared" si="101"/>
        <v>0</v>
      </c>
      <c r="E105" s="103">
        <f t="shared" si="101"/>
        <v>4234000</v>
      </c>
      <c r="F105" s="103">
        <f>SUM(F106:F110)</f>
        <v>4234000</v>
      </c>
      <c r="G105" s="103">
        <f>SUM(G106:G110)</f>
        <v>9161.81</v>
      </c>
      <c r="H105" s="103">
        <f>SUM(H106:H110)</f>
        <v>-4224838.1900000004</v>
      </c>
      <c r="I105" s="133">
        <f t="shared" si="45"/>
        <v>0.2163866320264525</v>
      </c>
      <c r="J105" s="94"/>
    </row>
    <row r="106" spans="1:10" hidden="1" x14ac:dyDescent="0.25">
      <c r="A106" s="51" t="s">
        <v>170</v>
      </c>
      <c r="B106" s="48" t="s">
        <v>275</v>
      </c>
      <c r="C106" s="105">
        <v>7484.42</v>
      </c>
      <c r="D106" s="105">
        <v>0</v>
      </c>
      <c r="E106" s="104">
        <v>55500</v>
      </c>
      <c r="F106" s="91">
        <f t="shared" ref="F106:F110" si="102">E106-D106</f>
        <v>55500</v>
      </c>
      <c r="G106" s="127">
        <v>2400</v>
      </c>
      <c r="H106" s="91">
        <f t="shared" ref="H106:H110" si="103">G106-E106</f>
        <v>-53100</v>
      </c>
      <c r="I106" s="42">
        <f t="shared" si="45"/>
        <v>4.3243243243243246</v>
      </c>
      <c r="J106" s="94"/>
    </row>
    <row r="107" spans="1:10" hidden="1" x14ac:dyDescent="0.25">
      <c r="A107" s="51">
        <v>4222</v>
      </c>
      <c r="B107" s="48" t="s">
        <v>257</v>
      </c>
      <c r="C107" s="105">
        <v>1186.5999999999999</v>
      </c>
      <c r="D107" s="105">
        <v>0</v>
      </c>
      <c r="E107" s="104">
        <v>0</v>
      </c>
      <c r="F107" s="91">
        <f t="shared" si="102"/>
        <v>0</v>
      </c>
      <c r="G107" s="91">
        <v>0</v>
      </c>
      <c r="H107" s="91">
        <f t="shared" si="103"/>
        <v>0</v>
      </c>
      <c r="I107" s="42"/>
      <c r="J107" s="94"/>
    </row>
    <row r="108" spans="1:10" hidden="1" x14ac:dyDescent="0.25">
      <c r="A108" s="51" t="s">
        <v>171</v>
      </c>
      <c r="B108" s="48" t="s">
        <v>276</v>
      </c>
      <c r="C108" s="104">
        <v>0</v>
      </c>
      <c r="D108" s="104">
        <v>0</v>
      </c>
      <c r="E108" s="104">
        <v>4174000</v>
      </c>
      <c r="F108" s="91">
        <f t="shared" si="102"/>
        <v>4174000</v>
      </c>
      <c r="G108" s="91">
        <v>0</v>
      </c>
      <c r="H108" s="91">
        <f t="shared" si="103"/>
        <v>-4174000</v>
      </c>
      <c r="I108" s="42">
        <f t="shared" si="45"/>
        <v>0</v>
      </c>
      <c r="J108" s="94"/>
    </row>
    <row r="109" spans="1:10" hidden="1" x14ac:dyDescent="0.25">
      <c r="A109" s="51" t="s">
        <v>172</v>
      </c>
      <c r="B109" s="48" t="s">
        <v>277</v>
      </c>
      <c r="C109" s="104">
        <v>0</v>
      </c>
      <c r="D109" s="104">
        <v>0</v>
      </c>
      <c r="E109" s="104">
        <v>4500</v>
      </c>
      <c r="F109" s="91">
        <f t="shared" si="102"/>
        <v>4500</v>
      </c>
      <c r="G109" s="91">
        <v>4500</v>
      </c>
      <c r="H109" s="91">
        <f t="shared" si="103"/>
        <v>0</v>
      </c>
      <c r="I109" s="42">
        <f t="shared" si="45"/>
        <v>100</v>
      </c>
      <c r="J109" s="94"/>
    </row>
    <row r="110" spans="1:10" hidden="1" x14ac:dyDescent="0.25">
      <c r="A110" s="51" t="s">
        <v>173</v>
      </c>
      <c r="B110" s="48" t="s">
        <v>278</v>
      </c>
      <c r="C110" s="104">
        <v>0</v>
      </c>
      <c r="D110" s="104">
        <v>0</v>
      </c>
      <c r="E110" s="104">
        <v>0</v>
      </c>
      <c r="F110" s="91">
        <f t="shared" si="102"/>
        <v>0</v>
      </c>
      <c r="G110" s="91">
        <v>2261.81</v>
      </c>
      <c r="H110" s="91">
        <f t="shared" si="103"/>
        <v>2261.81</v>
      </c>
      <c r="I110" s="42"/>
      <c r="J110" s="94"/>
    </row>
    <row r="113" spans="1:9" ht="15.6" customHeight="1" x14ac:dyDescent="0.25">
      <c r="A113" s="163" t="s">
        <v>40</v>
      </c>
      <c r="B113" s="163"/>
      <c r="C113" s="163"/>
      <c r="D113" s="163"/>
      <c r="E113" s="163"/>
      <c r="F113" s="163"/>
      <c r="G113" s="163"/>
      <c r="H113" s="163"/>
    </row>
    <row r="114" spans="1:9" ht="18.75" x14ac:dyDescent="0.25">
      <c r="A114" s="31"/>
      <c r="B114" s="31"/>
      <c r="C114" s="106"/>
      <c r="D114" s="106"/>
      <c r="E114" s="106"/>
      <c r="F114" s="81"/>
      <c r="G114" s="81"/>
      <c r="H114" s="81"/>
      <c r="I114" s="31"/>
    </row>
    <row r="115" spans="1:9" ht="44.25" customHeight="1" x14ac:dyDescent="0.25">
      <c r="A115" s="36" t="s">
        <v>41</v>
      </c>
      <c r="B115" s="37" t="s">
        <v>22</v>
      </c>
      <c r="C115" s="83" t="s">
        <v>73</v>
      </c>
      <c r="D115" s="83" t="s">
        <v>285</v>
      </c>
      <c r="E115" s="83" t="s">
        <v>295</v>
      </c>
      <c r="F115" s="84" t="s">
        <v>286</v>
      </c>
      <c r="G115" s="83" t="s">
        <v>296</v>
      </c>
      <c r="H115" s="84" t="s">
        <v>286</v>
      </c>
      <c r="I115" s="84" t="s">
        <v>287</v>
      </c>
    </row>
    <row r="116" spans="1:9" s="40" customFormat="1" ht="11.25" x14ac:dyDescent="0.2">
      <c r="A116" s="130">
        <v>1</v>
      </c>
      <c r="B116" s="130">
        <v>2</v>
      </c>
      <c r="C116" s="130">
        <v>3</v>
      </c>
      <c r="D116" s="130">
        <v>4</v>
      </c>
      <c r="E116" s="130">
        <v>5</v>
      </c>
      <c r="F116" s="130">
        <v>6</v>
      </c>
      <c r="G116" s="130">
        <v>7</v>
      </c>
      <c r="H116" s="130">
        <v>8</v>
      </c>
      <c r="I116" s="130">
        <v>9</v>
      </c>
    </row>
    <row r="117" spans="1:9" x14ac:dyDescent="0.25">
      <c r="A117" s="41"/>
      <c r="B117" s="41" t="s">
        <v>29</v>
      </c>
      <c r="C117" s="112">
        <f>C118+C121+C124+C127+C133+C136</f>
        <v>1451328.32</v>
      </c>
      <c r="D117" s="112">
        <f t="shared" ref="D117:H117" si="104">D118+D121+D124+D127+D133+D136</f>
        <v>1660647</v>
      </c>
      <c r="E117" s="112">
        <f t="shared" si="104"/>
        <v>11019646.879999999</v>
      </c>
      <c r="F117" s="112">
        <f t="shared" si="104"/>
        <v>9358999.879999999</v>
      </c>
      <c r="G117" s="112">
        <f t="shared" si="104"/>
        <v>2502057</v>
      </c>
      <c r="H117" s="112">
        <f t="shared" si="104"/>
        <v>-8517589.879999999</v>
      </c>
      <c r="I117" s="129">
        <f>G117/E117*100</f>
        <v>22.705419032447256</v>
      </c>
    </row>
    <row r="118" spans="1:9" x14ac:dyDescent="0.25">
      <c r="A118" s="41">
        <v>1</v>
      </c>
      <c r="B118" s="41" t="s">
        <v>42</v>
      </c>
      <c r="C118" s="112">
        <f t="shared" ref="C118:H118" si="105">C119+C120</f>
        <v>1233513.74</v>
      </c>
      <c r="D118" s="112">
        <f t="shared" si="105"/>
        <v>1445133</v>
      </c>
      <c r="E118" s="112">
        <f t="shared" si="105"/>
        <v>2408757.9400000004</v>
      </c>
      <c r="F118" s="112">
        <f t="shared" si="105"/>
        <v>963624.94000000018</v>
      </c>
      <c r="G118" s="112">
        <f t="shared" si="105"/>
        <v>1471440.1800000002</v>
      </c>
      <c r="H118" s="112">
        <f t="shared" si="105"/>
        <v>-937317.76000000013</v>
      </c>
      <c r="I118" s="129">
        <f>G118/E118*100</f>
        <v>61.087092047115362</v>
      </c>
    </row>
    <row r="119" spans="1:9" x14ac:dyDescent="0.25">
      <c r="A119" s="51">
        <v>11</v>
      </c>
      <c r="B119" s="43" t="s">
        <v>42</v>
      </c>
      <c r="C119" s="104">
        <v>1233513.74</v>
      </c>
      <c r="D119" s="104">
        <v>1445133</v>
      </c>
      <c r="E119" s="104">
        <v>2137546.16</v>
      </c>
      <c r="F119" s="91">
        <f>E119-D119</f>
        <v>692413.16000000015</v>
      </c>
      <c r="G119" s="91">
        <v>1339715.07</v>
      </c>
      <c r="H119" s="91">
        <f>G119-E119</f>
        <v>-797831.09000000008</v>
      </c>
      <c r="I119" s="42">
        <f>G119/E119*100</f>
        <v>62.675374926172353</v>
      </c>
    </row>
    <row r="120" spans="1:9" x14ac:dyDescent="0.25">
      <c r="A120" s="52">
        <v>15</v>
      </c>
      <c r="B120" s="43" t="s">
        <v>260</v>
      </c>
      <c r="C120" s="104">
        <v>0</v>
      </c>
      <c r="D120" s="104">
        <v>0</v>
      </c>
      <c r="E120" s="104">
        <v>271211.78000000003</v>
      </c>
      <c r="F120" s="91">
        <f>E120-D120</f>
        <v>271211.78000000003</v>
      </c>
      <c r="G120" s="91">
        <v>131725.10999999999</v>
      </c>
      <c r="H120" s="91">
        <f>G120-E120</f>
        <v>-139486.67000000004</v>
      </c>
      <c r="I120" s="42">
        <f>G120/E120*100</f>
        <v>48.569096076873933</v>
      </c>
    </row>
    <row r="121" spans="1:9" x14ac:dyDescent="0.25">
      <c r="A121" s="41">
        <v>3</v>
      </c>
      <c r="B121" s="41" t="s">
        <v>56</v>
      </c>
      <c r="C121" s="112">
        <f t="shared" ref="C121:H121" si="106">C122+C123</f>
        <v>127053.59</v>
      </c>
      <c r="D121" s="112">
        <f t="shared" si="106"/>
        <v>72000</v>
      </c>
      <c r="E121" s="112">
        <f t="shared" si="106"/>
        <v>72000</v>
      </c>
      <c r="F121" s="112">
        <f t="shared" si="106"/>
        <v>0</v>
      </c>
      <c r="G121" s="112">
        <f t="shared" si="106"/>
        <v>22000</v>
      </c>
      <c r="H121" s="112">
        <f t="shared" si="106"/>
        <v>-50000</v>
      </c>
      <c r="I121" s="129">
        <f t="shared" ref="I121:I135" si="107">G121/E121*100</f>
        <v>30.555555555555557</v>
      </c>
    </row>
    <row r="122" spans="1:9" x14ac:dyDescent="0.25">
      <c r="A122" s="52">
        <v>31</v>
      </c>
      <c r="B122" s="45" t="s">
        <v>43</v>
      </c>
      <c r="C122" s="111">
        <v>127053.59</v>
      </c>
      <c r="D122" s="111">
        <v>0</v>
      </c>
      <c r="E122" s="91">
        <v>0</v>
      </c>
      <c r="F122" s="91">
        <f>E122-D122</f>
        <v>0</v>
      </c>
      <c r="G122" s="91">
        <v>0</v>
      </c>
      <c r="H122" s="91">
        <f>G122-E122</f>
        <v>0</v>
      </c>
      <c r="I122" s="42"/>
    </row>
    <row r="123" spans="1:9" x14ac:dyDescent="0.25">
      <c r="A123" s="52">
        <v>32</v>
      </c>
      <c r="B123" s="45" t="s">
        <v>270</v>
      </c>
      <c r="C123" s="91">
        <v>0</v>
      </c>
      <c r="D123" s="91">
        <v>72000</v>
      </c>
      <c r="E123" s="111">
        <v>72000</v>
      </c>
      <c r="F123" s="91">
        <f>E123-D123</f>
        <v>0</v>
      </c>
      <c r="G123" s="91">
        <v>22000</v>
      </c>
      <c r="H123" s="91">
        <f>G123-E123</f>
        <v>-50000</v>
      </c>
      <c r="I123" s="42">
        <f t="shared" si="107"/>
        <v>30.555555555555557</v>
      </c>
    </row>
    <row r="124" spans="1:9" x14ac:dyDescent="0.25">
      <c r="A124" s="41">
        <v>4</v>
      </c>
      <c r="B124" s="41" t="s">
        <v>57</v>
      </c>
      <c r="C124" s="112">
        <f t="shared" ref="C124:H124" si="108">C125+C126</f>
        <v>0</v>
      </c>
      <c r="D124" s="112">
        <f t="shared" si="108"/>
        <v>80000</v>
      </c>
      <c r="E124" s="112">
        <f t="shared" si="108"/>
        <v>80000</v>
      </c>
      <c r="F124" s="112">
        <f t="shared" si="108"/>
        <v>0</v>
      </c>
      <c r="G124" s="112">
        <f t="shared" si="108"/>
        <v>86000</v>
      </c>
      <c r="H124" s="112">
        <f t="shared" si="108"/>
        <v>6000</v>
      </c>
      <c r="I124" s="129">
        <f t="shared" si="107"/>
        <v>107.5</v>
      </c>
    </row>
    <row r="125" spans="1:9" x14ac:dyDescent="0.25">
      <c r="A125" s="52">
        <v>43</v>
      </c>
      <c r="B125" s="45" t="s">
        <v>55</v>
      </c>
      <c r="C125" s="91">
        <v>0</v>
      </c>
      <c r="D125" s="91">
        <v>0</v>
      </c>
      <c r="E125" s="91">
        <v>0</v>
      </c>
      <c r="F125" s="91">
        <f>E125-D125</f>
        <v>0</v>
      </c>
      <c r="G125" s="91">
        <v>0</v>
      </c>
      <c r="H125" s="91">
        <f>G125-E125</f>
        <v>0</v>
      </c>
      <c r="I125" s="42"/>
    </row>
    <row r="126" spans="1:9" x14ac:dyDescent="0.25">
      <c r="A126" s="52">
        <v>47</v>
      </c>
      <c r="B126" s="45" t="s">
        <v>261</v>
      </c>
      <c r="C126" s="91">
        <v>0</v>
      </c>
      <c r="D126" s="91">
        <v>80000</v>
      </c>
      <c r="E126" s="111">
        <v>80000</v>
      </c>
      <c r="F126" s="91">
        <f>E126-D126</f>
        <v>0</v>
      </c>
      <c r="G126" s="91">
        <v>86000</v>
      </c>
      <c r="H126" s="91">
        <f>G126-E126</f>
        <v>6000</v>
      </c>
      <c r="I126" s="42">
        <f t="shared" si="107"/>
        <v>107.5</v>
      </c>
    </row>
    <row r="127" spans="1:9" x14ac:dyDescent="0.25">
      <c r="A127" s="41">
        <v>5</v>
      </c>
      <c r="B127" s="41" t="s">
        <v>265</v>
      </c>
      <c r="C127" s="112">
        <f>C128+C129+C130+C131+C132</f>
        <v>82760.990000000005</v>
      </c>
      <c r="D127" s="112">
        <f t="shared" ref="D127:H127" si="109">D128+D129+D130+D131+D132</f>
        <v>63514</v>
      </c>
      <c r="E127" s="112">
        <f t="shared" si="109"/>
        <v>8442688.9399999995</v>
      </c>
      <c r="F127" s="112">
        <f t="shared" si="109"/>
        <v>8379174.9399999995</v>
      </c>
      <c r="G127" s="112">
        <f t="shared" si="109"/>
        <v>116555.67000000001</v>
      </c>
      <c r="H127" s="112">
        <f t="shared" si="109"/>
        <v>-8326133.2699999986</v>
      </c>
      <c r="I127" s="129">
        <f t="shared" si="107"/>
        <v>1.3805515141956659</v>
      </c>
    </row>
    <row r="128" spans="1:9" x14ac:dyDescent="0.25">
      <c r="A128" s="52">
        <v>50</v>
      </c>
      <c r="B128" s="45" t="s">
        <v>264</v>
      </c>
      <c r="C128" s="91">
        <v>0</v>
      </c>
      <c r="D128" s="91">
        <v>0</v>
      </c>
      <c r="E128" s="91">
        <v>0</v>
      </c>
      <c r="F128" s="91">
        <f>E128-D128</f>
        <v>0</v>
      </c>
      <c r="G128" s="91">
        <v>0</v>
      </c>
      <c r="H128" s="91">
        <f>G128-E128</f>
        <v>0</v>
      </c>
      <c r="I128" s="42"/>
    </row>
    <row r="129" spans="1:11" x14ac:dyDescent="0.25">
      <c r="A129" s="52">
        <v>51</v>
      </c>
      <c r="B129" s="45" t="s">
        <v>192</v>
      </c>
      <c r="C129" s="111">
        <v>82760.990000000005</v>
      </c>
      <c r="D129" s="111">
        <v>53514</v>
      </c>
      <c r="E129" s="111">
        <v>8432688.9399999995</v>
      </c>
      <c r="F129" s="91">
        <f>E129-D129</f>
        <v>8379174.9399999995</v>
      </c>
      <c r="G129" s="91">
        <v>43160.630000000005</v>
      </c>
      <c r="H129" s="91">
        <f>G129-E129</f>
        <v>-8389528.3099999987</v>
      </c>
      <c r="I129" s="42">
        <f t="shared" si="107"/>
        <v>0.51182523519004608</v>
      </c>
    </row>
    <row r="130" spans="1:11" x14ac:dyDescent="0.25">
      <c r="A130" s="52">
        <v>53</v>
      </c>
      <c r="B130" s="45" t="s">
        <v>267</v>
      </c>
      <c r="C130" s="91">
        <v>0</v>
      </c>
      <c r="D130" s="91">
        <v>10000</v>
      </c>
      <c r="E130" s="111">
        <v>10000</v>
      </c>
      <c r="F130" s="91">
        <f>E130-D130</f>
        <v>0</v>
      </c>
      <c r="G130" s="91">
        <v>45465.04</v>
      </c>
      <c r="H130" s="91">
        <f>G130-E130</f>
        <v>35465.040000000001</v>
      </c>
      <c r="I130" s="42">
        <f t="shared" si="107"/>
        <v>454.65039999999999</v>
      </c>
    </row>
    <row r="131" spans="1:11" x14ac:dyDescent="0.25">
      <c r="A131" s="52">
        <v>56</v>
      </c>
      <c r="B131" s="45" t="s">
        <v>268</v>
      </c>
      <c r="C131" s="91">
        <v>0</v>
      </c>
      <c r="D131" s="91">
        <v>0</v>
      </c>
      <c r="E131" s="91">
        <v>0</v>
      </c>
      <c r="F131" s="91">
        <f>E131-D131</f>
        <v>0</v>
      </c>
      <c r="G131" s="91">
        <v>27930</v>
      </c>
      <c r="H131" s="91">
        <f>G131-E131</f>
        <v>27930</v>
      </c>
      <c r="I131" s="42"/>
    </row>
    <row r="132" spans="1:11" x14ac:dyDescent="0.25">
      <c r="A132" s="52">
        <v>57</v>
      </c>
      <c r="B132" s="45" t="s">
        <v>269</v>
      </c>
      <c r="C132" s="91">
        <v>0</v>
      </c>
      <c r="D132" s="91">
        <v>0</v>
      </c>
      <c r="E132" s="91">
        <v>0</v>
      </c>
      <c r="F132" s="91">
        <f>E132-D132</f>
        <v>0</v>
      </c>
      <c r="G132" s="91">
        <v>0</v>
      </c>
      <c r="H132" s="91">
        <f>G132-E132</f>
        <v>0</v>
      </c>
      <c r="I132" s="42"/>
    </row>
    <row r="133" spans="1:11" x14ac:dyDescent="0.25">
      <c r="A133" s="41">
        <v>6</v>
      </c>
      <c r="B133" s="41" t="s">
        <v>263</v>
      </c>
      <c r="C133" s="112">
        <f>C134+C135</f>
        <v>8000</v>
      </c>
      <c r="D133" s="112">
        <f t="shared" ref="D133:H133" si="110">D134+D135</f>
        <v>0</v>
      </c>
      <c r="E133" s="112">
        <f t="shared" si="110"/>
        <v>16200</v>
      </c>
      <c r="F133" s="112">
        <f t="shared" si="110"/>
        <v>16200</v>
      </c>
      <c r="G133" s="112">
        <f t="shared" si="110"/>
        <v>32709.919999999998</v>
      </c>
      <c r="H133" s="112">
        <f t="shared" si="110"/>
        <v>16509.919999999998</v>
      </c>
      <c r="I133" s="129">
        <f t="shared" si="107"/>
        <v>201.91308641975309</v>
      </c>
    </row>
    <row r="134" spans="1:11" x14ac:dyDescent="0.25">
      <c r="A134" s="52">
        <v>61</v>
      </c>
      <c r="B134" s="45" t="s">
        <v>266</v>
      </c>
      <c r="C134" s="111">
        <v>8000</v>
      </c>
      <c r="D134" s="111">
        <v>0</v>
      </c>
      <c r="E134" s="91">
        <v>0</v>
      </c>
      <c r="F134" s="91">
        <f>E134-D134</f>
        <v>0</v>
      </c>
      <c r="G134" s="91">
        <v>0</v>
      </c>
      <c r="H134" s="91">
        <f>G134-E134</f>
        <v>0</v>
      </c>
      <c r="I134" s="42"/>
    </row>
    <row r="135" spans="1:11" x14ac:dyDescent="0.25">
      <c r="A135" s="52">
        <v>62</v>
      </c>
      <c r="B135" s="45" t="s">
        <v>262</v>
      </c>
      <c r="C135" s="91">
        <v>0</v>
      </c>
      <c r="D135" s="91">
        <v>0</v>
      </c>
      <c r="E135" s="111">
        <v>16200</v>
      </c>
      <c r="F135" s="91">
        <f>E135-D135</f>
        <v>16200</v>
      </c>
      <c r="G135" s="91">
        <v>32709.919999999998</v>
      </c>
      <c r="H135" s="91">
        <f>G135-E135</f>
        <v>16509.919999999998</v>
      </c>
      <c r="I135" s="42">
        <f t="shared" si="107"/>
        <v>201.91308641975309</v>
      </c>
    </row>
    <row r="136" spans="1:11" x14ac:dyDescent="0.25">
      <c r="A136" s="41">
        <v>9</v>
      </c>
      <c r="B136" s="134" t="s">
        <v>288</v>
      </c>
      <c r="C136" s="112">
        <f>C137</f>
        <v>0</v>
      </c>
      <c r="D136" s="112">
        <f t="shared" ref="D136:H136" si="111">D137</f>
        <v>0</v>
      </c>
      <c r="E136" s="112">
        <f t="shared" si="111"/>
        <v>0</v>
      </c>
      <c r="F136" s="112">
        <f t="shared" si="111"/>
        <v>0</v>
      </c>
      <c r="G136" s="112">
        <f t="shared" si="111"/>
        <v>773351.23</v>
      </c>
      <c r="H136" s="112">
        <f t="shared" si="111"/>
        <v>773351.23</v>
      </c>
      <c r="I136" s="129"/>
    </row>
    <row r="137" spans="1:11" x14ac:dyDescent="0.25">
      <c r="A137" s="52">
        <v>91</v>
      </c>
      <c r="B137" s="135" t="s">
        <v>288</v>
      </c>
      <c r="C137" s="91">
        <v>0</v>
      </c>
      <c r="D137" s="91">
        <v>0</v>
      </c>
      <c r="E137" s="111">
        <v>0</v>
      </c>
      <c r="F137" s="91">
        <v>0</v>
      </c>
      <c r="G137" s="91">
        <v>773351.23</v>
      </c>
      <c r="H137" s="91">
        <f>G137-E137</f>
        <v>773351.23</v>
      </c>
      <c r="I137" s="42"/>
    </row>
    <row r="138" spans="1:11" x14ac:dyDescent="0.25">
      <c r="C138" s="32"/>
      <c r="D138" s="32"/>
      <c r="E138" s="32"/>
      <c r="F138" s="32"/>
      <c r="G138" s="32"/>
      <c r="H138" s="32"/>
    </row>
    <row r="139" spans="1:11" x14ac:dyDescent="0.25">
      <c r="C139" s="32"/>
      <c r="D139" s="32"/>
      <c r="E139" s="32"/>
      <c r="F139" s="32"/>
      <c r="G139" s="32"/>
      <c r="H139" s="32"/>
    </row>
    <row r="140" spans="1:11" ht="38.25" x14ac:dyDescent="0.25">
      <c r="A140" s="36" t="s">
        <v>41</v>
      </c>
      <c r="B140" s="37" t="s">
        <v>22</v>
      </c>
      <c r="C140" s="83" t="s">
        <v>73</v>
      </c>
      <c r="D140" s="83" t="s">
        <v>285</v>
      </c>
      <c r="E140" s="83" t="s">
        <v>295</v>
      </c>
      <c r="F140" s="84" t="s">
        <v>286</v>
      </c>
      <c r="G140" s="83" t="s">
        <v>296</v>
      </c>
      <c r="H140" s="84" t="s">
        <v>286</v>
      </c>
      <c r="I140" s="84" t="s">
        <v>287</v>
      </c>
    </row>
    <row r="141" spans="1:11" s="40" customFormat="1" ht="11.25" x14ac:dyDescent="0.2">
      <c r="A141" s="130">
        <v>1</v>
      </c>
      <c r="B141" s="130">
        <v>2</v>
      </c>
      <c r="C141" s="130">
        <v>3</v>
      </c>
      <c r="D141" s="130">
        <v>4</v>
      </c>
      <c r="E141" s="130">
        <v>5</v>
      </c>
      <c r="F141" s="130">
        <v>6</v>
      </c>
      <c r="G141" s="130">
        <v>7</v>
      </c>
      <c r="H141" s="130">
        <v>8</v>
      </c>
      <c r="I141" s="130">
        <v>9</v>
      </c>
    </row>
    <row r="142" spans="1:11" x14ac:dyDescent="0.25">
      <c r="A142" s="41"/>
      <c r="B142" s="41" t="s">
        <v>34</v>
      </c>
      <c r="C142" s="112">
        <f>C143+C146+C149+C152+C158</f>
        <v>1389265.32</v>
      </c>
      <c r="D142" s="112">
        <f t="shared" ref="D142:F142" si="112">D143+D146+D149+D152+D158</f>
        <v>1660647</v>
      </c>
      <c r="E142" s="112">
        <f t="shared" si="112"/>
        <v>11019646.879999999</v>
      </c>
      <c r="F142" s="112">
        <f t="shared" si="112"/>
        <v>9358999.879999999</v>
      </c>
      <c r="G142" s="112">
        <f>G143+G146+G149+G152+G158+G161</f>
        <v>2472633.91</v>
      </c>
      <c r="H142" s="112">
        <f>H143+H146+H149+H152+H158+H161</f>
        <v>-8547012.9699999988</v>
      </c>
      <c r="I142" s="129">
        <f>G142/E142*100</f>
        <v>22.438413289700627</v>
      </c>
      <c r="K142" s="94"/>
    </row>
    <row r="143" spans="1:11" x14ac:dyDescent="0.25">
      <c r="A143" s="41">
        <v>1</v>
      </c>
      <c r="B143" s="41" t="s">
        <v>42</v>
      </c>
      <c r="C143" s="112">
        <f t="shared" ref="C143:H143" si="113">C144+C145</f>
        <v>1223317.56</v>
      </c>
      <c r="D143" s="112">
        <f t="shared" si="113"/>
        <v>1445133</v>
      </c>
      <c r="E143" s="112">
        <f t="shared" si="113"/>
        <v>2408757.9400000004</v>
      </c>
      <c r="F143" s="112">
        <f t="shared" si="113"/>
        <v>963624.94000000018</v>
      </c>
      <c r="G143" s="112">
        <f t="shared" si="113"/>
        <v>1471440.1800000002</v>
      </c>
      <c r="H143" s="112">
        <f t="shared" si="113"/>
        <v>-937317.76000000013</v>
      </c>
      <c r="I143" s="129">
        <f>G143/E143*100</f>
        <v>61.087092047115362</v>
      </c>
      <c r="K143" s="94"/>
    </row>
    <row r="144" spans="1:11" x14ac:dyDescent="0.25">
      <c r="A144" s="51">
        <v>11</v>
      </c>
      <c r="B144" s="43" t="s">
        <v>42</v>
      </c>
      <c r="C144" s="104">
        <v>1223317.56</v>
      </c>
      <c r="D144" s="104">
        <v>1445133</v>
      </c>
      <c r="E144" s="91">
        <v>2137546.16</v>
      </c>
      <c r="F144" s="91">
        <f>E144-D144</f>
        <v>692413.16000000015</v>
      </c>
      <c r="G144" s="91">
        <v>1339715.07</v>
      </c>
      <c r="H144" s="91">
        <f>G144-E144</f>
        <v>-797831.09000000008</v>
      </c>
      <c r="I144" s="42">
        <f>G144/E144*100</f>
        <v>62.675374926172353</v>
      </c>
      <c r="K144" s="94"/>
    </row>
    <row r="145" spans="1:11" x14ac:dyDescent="0.25">
      <c r="A145" s="52">
        <v>15</v>
      </c>
      <c r="B145" s="119" t="s">
        <v>260</v>
      </c>
      <c r="C145" s="104">
        <v>0</v>
      </c>
      <c r="D145" s="104">
        <v>0</v>
      </c>
      <c r="E145" s="104">
        <v>271211.78000000003</v>
      </c>
      <c r="F145" s="91">
        <f>E145-D145</f>
        <v>271211.78000000003</v>
      </c>
      <c r="G145" s="104">
        <v>131725.10999999999</v>
      </c>
      <c r="H145" s="91">
        <f>G145-E145</f>
        <v>-139486.67000000004</v>
      </c>
      <c r="I145" s="42">
        <f>G145/E145*100</f>
        <v>48.569096076873933</v>
      </c>
      <c r="K145" s="94"/>
    </row>
    <row r="146" spans="1:11" x14ac:dyDescent="0.25">
      <c r="A146" s="41">
        <v>3</v>
      </c>
      <c r="B146" s="41" t="s">
        <v>43</v>
      </c>
      <c r="C146" s="112">
        <f t="shared" ref="C146:G146" si="114">C147+C148</f>
        <v>126205.82</v>
      </c>
      <c r="D146" s="112">
        <f t="shared" si="114"/>
        <v>72000</v>
      </c>
      <c r="E146" s="112">
        <f t="shared" si="114"/>
        <v>72000</v>
      </c>
      <c r="F146" s="112">
        <f t="shared" si="114"/>
        <v>0</v>
      </c>
      <c r="G146" s="112">
        <f t="shared" si="114"/>
        <v>22000</v>
      </c>
      <c r="H146" s="112">
        <f>H147+H148</f>
        <v>-50000</v>
      </c>
      <c r="I146" s="129">
        <f t="shared" ref="I146:I160" si="115">G146/E146*100</f>
        <v>30.555555555555557</v>
      </c>
      <c r="K146" s="94"/>
    </row>
    <row r="147" spans="1:11" x14ac:dyDescent="0.25">
      <c r="A147" s="52">
        <v>31</v>
      </c>
      <c r="B147" s="45" t="s">
        <v>43</v>
      </c>
      <c r="C147" s="104">
        <v>126205.82</v>
      </c>
      <c r="D147" s="104">
        <v>0</v>
      </c>
      <c r="E147" s="104">
        <v>0</v>
      </c>
      <c r="F147" s="91">
        <f>E147-D147</f>
        <v>0</v>
      </c>
      <c r="G147" s="91">
        <v>0</v>
      </c>
      <c r="H147" s="91">
        <f>G147-E147</f>
        <v>0</v>
      </c>
      <c r="I147" s="42"/>
      <c r="K147" s="94"/>
    </row>
    <row r="148" spans="1:11" x14ac:dyDescent="0.25">
      <c r="A148" s="52">
        <v>32</v>
      </c>
      <c r="B148" s="45" t="s">
        <v>270</v>
      </c>
      <c r="C148" s="104">
        <v>0</v>
      </c>
      <c r="D148" s="128">
        <v>72000</v>
      </c>
      <c r="E148" s="111">
        <v>72000</v>
      </c>
      <c r="F148" s="91">
        <f>E148-D148</f>
        <v>0</v>
      </c>
      <c r="G148" s="104">
        <v>22000</v>
      </c>
      <c r="H148" s="91">
        <f>G148-E148</f>
        <v>-50000</v>
      </c>
      <c r="I148" s="42">
        <f t="shared" si="115"/>
        <v>30.555555555555557</v>
      </c>
      <c r="K148" s="94"/>
    </row>
    <row r="149" spans="1:11" x14ac:dyDescent="0.25">
      <c r="A149" s="41">
        <v>4</v>
      </c>
      <c r="B149" s="41" t="s">
        <v>57</v>
      </c>
      <c r="C149" s="112">
        <f t="shared" ref="C149:H149" si="116">C150+C151</f>
        <v>0</v>
      </c>
      <c r="D149" s="112">
        <f t="shared" si="116"/>
        <v>80000</v>
      </c>
      <c r="E149" s="112">
        <f t="shared" si="116"/>
        <v>80000</v>
      </c>
      <c r="F149" s="112">
        <f t="shared" si="116"/>
        <v>0</v>
      </c>
      <c r="G149" s="112">
        <f t="shared" si="116"/>
        <v>86000</v>
      </c>
      <c r="H149" s="112">
        <f t="shared" si="116"/>
        <v>6000</v>
      </c>
      <c r="I149" s="129">
        <f t="shared" si="115"/>
        <v>107.5</v>
      </c>
      <c r="K149" s="94"/>
    </row>
    <row r="150" spans="1:11" x14ac:dyDescent="0.25">
      <c r="A150" s="52">
        <v>43</v>
      </c>
      <c r="B150" s="45" t="s">
        <v>55</v>
      </c>
      <c r="C150" s="104">
        <v>0</v>
      </c>
      <c r="D150" s="104">
        <v>0</v>
      </c>
      <c r="E150" s="104">
        <v>0</v>
      </c>
      <c r="F150" s="91">
        <f>E150-D150</f>
        <v>0</v>
      </c>
      <c r="G150" s="91">
        <v>0</v>
      </c>
      <c r="H150" s="91">
        <f>G150-E150</f>
        <v>0</v>
      </c>
      <c r="I150" s="42"/>
      <c r="K150" s="94"/>
    </row>
    <row r="151" spans="1:11" x14ac:dyDescent="0.25">
      <c r="A151" s="52">
        <v>47</v>
      </c>
      <c r="B151" s="45" t="s">
        <v>261</v>
      </c>
      <c r="C151" s="104">
        <v>0</v>
      </c>
      <c r="D151" s="128">
        <v>80000</v>
      </c>
      <c r="E151" s="111">
        <v>80000</v>
      </c>
      <c r="F151" s="91">
        <f>E151-D151</f>
        <v>0</v>
      </c>
      <c r="G151" s="104">
        <v>86000</v>
      </c>
      <c r="H151" s="91">
        <f>G151-E151</f>
        <v>6000</v>
      </c>
      <c r="I151" s="42">
        <f t="shared" si="115"/>
        <v>107.5</v>
      </c>
      <c r="K151" s="94"/>
    </row>
    <row r="152" spans="1:11" x14ac:dyDescent="0.25">
      <c r="A152" s="41">
        <v>5</v>
      </c>
      <c r="B152" s="41" t="s">
        <v>265</v>
      </c>
      <c r="C152" s="112">
        <f>C154+C155+C156+C157+C153</f>
        <v>29871.739999999998</v>
      </c>
      <c r="D152" s="112">
        <f t="shared" ref="D152:H152" si="117">D154+D155+D156+D157+D153</f>
        <v>63514</v>
      </c>
      <c r="E152" s="112">
        <f t="shared" si="117"/>
        <v>8442688.9399999995</v>
      </c>
      <c r="F152" s="112">
        <f t="shared" si="117"/>
        <v>8379174.9399999995</v>
      </c>
      <c r="G152" s="112">
        <f t="shared" si="117"/>
        <v>87132.58</v>
      </c>
      <c r="H152" s="112">
        <f t="shared" si="117"/>
        <v>-8355556.3599999985</v>
      </c>
      <c r="I152" s="129">
        <f t="shared" si="115"/>
        <v>1.0320477352562512</v>
      </c>
      <c r="K152" s="94"/>
    </row>
    <row r="153" spans="1:11" x14ac:dyDescent="0.25">
      <c r="A153" s="52">
        <v>50</v>
      </c>
      <c r="B153" s="45" t="s">
        <v>264</v>
      </c>
      <c r="C153" s="111">
        <v>0</v>
      </c>
      <c r="D153" s="111">
        <v>0</v>
      </c>
      <c r="E153" s="111">
        <v>0</v>
      </c>
      <c r="F153" s="91">
        <f>E153-D153</f>
        <v>0</v>
      </c>
      <c r="G153" s="104">
        <v>0</v>
      </c>
      <c r="H153" s="91">
        <f>G153-E153</f>
        <v>0</v>
      </c>
      <c r="I153" s="42"/>
      <c r="K153" s="94"/>
    </row>
    <row r="154" spans="1:11" x14ac:dyDescent="0.25">
      <c r="A154" s="52">
        <v>51</v>
      </c>
      <c r="B154" s="45" t="s">
        <v>192</v>
      </c>
      <c r="C154" s="111">
        <v>29871.739999999998</v>
      </c>
      <c r="D154" s="128">
        <v>53514</v>
      </c>
      <c r="E154" s="111">
        <v>8432688.9399999995</v>
      </c>
      <c r="F154" s="91">
        <f>E154-D154</f>
        <v>8379174.9399999995</v>
      </c>
      <c r="G154" s="104">
        <v>43160.630000000005</v>
      </c>
      <c r="H154" s="91">
        <f>G154-E154</f>
        <v>-8389528.3099999987</v>
      </c>
      <c r="I154" s="42">
        <f t="shared" si="115"/>
        <v>0.51182523519004608</v>
      </c>
      <c r="K154" s="94"/>
    </row>
    <row r="155" spans="1:11" x14ac:dyDescent="0.25">
      <c r="A155" s="52">
        <v>53</v>
      </c>
      <c r="B155" s="45" t="s">
        <v>267</v>
      </c>
      <c r="C155" s="104">
        <v>0</v>
      </c>
      <c r="D155" s="128">
        <v>10000</v>
      </c>
      <c r="E155" s="111">
        <v>10000</v>
      </c>
      <c r="F155" s="91">
        <f>E155-D155</f>
        <v>0</v>
      </c>
      <c r="G155" s="104">
        <v>16041.95</v>
      </c>
      <c r="H155" s="91">
        <f>G155-E155</f>
        <v>6041.9500000000007</v>
      </c>
      <c r="I155" s="42">
        <f t="shared" si="115"/>
        <v>160.4195</v>
      </c>
      <c r="K155" s="94"/>
    </row>
    <row r="156" spans="1:11" x14ac:dyDescent="0.25">
      <c r="A156" s="52">
        <v>56</v>
      </c>
      <c r="B156" s="45" t="s">
        <v>268</v>
      </c>
      <c r="C156" s="104">
        <v>0</v>
      </c>
      <c r="D156" s="104">
        <v>0</v>
      </c>
      <c r="E156" s="104">
        <v>0</v>
      </c>
      <c r="F156" s="91">
        <f>E156-D156</f>
        <v>0</v>
      </c>
      <c r="G156" s="104">
        <v>27930</v>
      </c>
      <c r="H156" s="91">
        <f>G156-E156</f>
        <v>27930</v>
      </c>
      <c r="I156" s="42"/>
      <c r="K156" s="94"/>
    </row>
    <row r="157" spans="1:11" x14ac:dyDescent="0.25">
      <c r="A157" s="52">
        <v>57</v>
      </c>
      <c r="B157" s="45" t="s">
        <v>269</v>
      </c>
      <c r="C157" s="104">
        <v>0</v>
      </c>
      <c r="D157" s="104">
        <v>0</v>
      </c>
      <c r="E157" s="104">
        <v>0</v>
      </c>
      <c r="F157" s="91">
        <f>E157-D157</f>
        <v>0</v>
      </c>
      <c r="G157" s="91">
        <f>F156+F157</f>
        <v>0</v>
      </c>
      <c r="H157" s="91">
        <f>G157-E157</f>
        <v>0</v>
      </c>
      <c r="I157" s="42"/>
      <c r="K157" s="94"/>
    </row>
    <row r="158" spans="1:11" x14ac:dyDescent="0.25">
      <c r="A158" s="41">
        <v>6</v>
      </c>
      <c r="B158" s="41" t="s">
        <v>263</v>
      </c>
      <c r="C158" s="112">
        <f>C159+C160</f>
        <v>9870.2000000000007</v>
      </c>
      <c r="D158" s="112">
        <f t="shared" ref="D158:H158" si="118">D159+D160</f>
        <v>0</v>
      </c>
      <c r="E158" s="112">
        <f t="shared" si="118"/>
        <v>16200</v>
      </c>
      <c r="F158" s="112">
        <f t="shared" si="118"/>
        <v>16200</v>
      </c>
      <c r="G158" s="112">
        <f t="shared" si="118"/>
        <v>32709.919999999998</v>
      </c>
      <c r="H158" s="112">
        <f t="shared" si="118"/>
        <v>16509.919999999998</v>
      </c>
      <c r="I158" s="129">
        <f t="shared" si="115"/>
        <v>201.91308641975309</v>
      </c>
      <c r="K158" s="94"/>
    </row>
    <row r="159" spans="1:11" x14ac:dyDescent="0.25">
      <c r="A159" s="52">
        <v>61</v>
      </c>
      <c r="B159" s="45" t="s">
        <v>266</v>
      </c>
      <c r="C159" s="111">
        <v>9870.2000000000007</v>
      </c>
      <c r="D159" s="111">
        <v>0</v>
      </c>
      <c r="E159" s="104">
        <v>0</v>
      </c>
      <c r="F159" s="91">
        <f>E159-D159</f>
        <v>0</v>
      </c>
      <c r="G159" s="91">
        <v>0</v>
      </c>
      <c r="H159" s="91">
        <f>G159-E159</f>
        <v>0</v>
      </c>
      <c r="I159" s="42"/>
      <c r="K159" s="94"/>
    </row>
    <row r="160" spans="1:11" x14ac:dyDescent="0.25">
      <c r="A160" s="52">
        <v>62</v>
      </c>
      <c r="B160" s="45" t="s">
        <v>262</v>
      </c>
      <c r="C160" s="104">
        <v>0</v>
      </c>
      <c r="D160" s="104">
        <v>0</v>
      </c>
      <c r="E160" s="111">
        <v>16200</v>
      </c>
      <c r="F160" s="91">
        <f>E160-D160</f>
        <v>16200</v>
      </c>
      <c r="G160" s="104">
        <v>32709.919999999998</v>
      </c>
      <c r="H160" s="91">
        <f>G160-E160</f>
        <v>16509.919999999998</v>
      </c>
      <c r="I160" s="42">
        <f t="shared" si="115"/>
        <v>201.91308641975309</v>
      </c>
      <c r="K160" s="94"/>
    </row>
    <row r="161" spans="1:11" x14ac:dyDescent="0.25">
      <c r="A161" s="41">
        <v>9</v>
      </c>
      <c r="B161" s="134" t="s">
        <v>288</v>
      </c>
      <c r="C161" s="112">
        <f>C162</f>
        <v>0</v>
      </c>
      <c r="D161" s="112">
        <f t="shared" ref="D161" si="119">D162</f>
        <v>0</v>
      </c>
      <c r="E161" s="112">
        <f t="shared" ref="E161" si="120">E162</f>
        <v>0</v>
      </c>
      <c r="F161" s="112">
        <f t="shared" ref="F161" si="121">F162</f>
        <v>0</v>
      </c>
      <c r="G161" s="112">
        <f t="shared" ref="G161" si="122">G162</f>
        <v>773351.23</v>
      </c>
      <c r="H161" s="112">
        <f t="shared" ref="H161" si="123">H162</f>
        <v>773351.23</v>
      </c>
      <c r="I161" s="129"/>
      <c r="K161" s="94"/>
    </row>
    <row r="162" spans="1:11" x14ac:dyDescent="0.25">
      <c r="A162" s="52">
        <v>91</v>
      </c>
      <c r="B162" s="135" t="s">
        <v>288</v>
      </c>
      <c r="C162" s="91">
        <v>0</v>
      </c>
      <c r="D162" s="91">
        <v>0</v>
      </c>
      <c r="E162" s="111">
        <v>0</v>
      </c>
      <c r="F162" s="91">
        <v>0</v>
      </c>
      <c r="G162" s="91">
        <v>773351.23</v>
      </c>
      <c r="H162" s="91">
        <f>G162-E162</f>
        <v>773351.23</v>
      </c>
      <c r="I162" s="42"/>
      <c r="K162" s="94"/>
    </row>
    <row r="165" spans="1:11" ht="15.75" x14ac:dyDescent="0.25">
      <c r="B165" s="163" t="s">
        <v>44</v>
      </c>
      <c r="C165" s="163"/>
      <c r="D165" s="163"/>
      <c r="E165" s="163"/>
      <c r="F165" s="163"/>
      <c r="G165" s="163"/>
      <c r="H165" s="163"/>
    </row>
    <row r="166" spans="1:11" ht="18.75" x14ac:dyDescent="0.25">
      <c r="B166" s="31"/>
      <c r="C166" s="106"/>
      <c r="D166" s="106"/>
      <c r="E166" s="106"/>
      <c r="F166" s="81"/>
      <c r="G166" s="81"/>
      <c r="H166" s="81"/>
    </row>
    <row r="167" spans="1:11" ht="38.25" x14ac:dyDescent="0.25">
      <c r="A167" s="36" t="s">
        <v>41</v>
      </c>
      <c r="B167" s="37" t="s">
        <v>22</v>
      </c>
      <c r="C167" s="83" t="s">
        <v>73</v>
      </c>
      <c r="D167" s="83" t="s">
        <v>285</v>
      </c>
      <c r="E167" s="83" t="s">
        <v>295</v>
      </c>
      <c r="F167" s="84" t="s">
        <v>286</v>
      </c>
      <c r="G167" s="83" t="s">
        <v>296</v>
      </c>
      <c r="H167" s="84" t="s">
        <v>286</v>
      </c>
      <c r="I167" s="84" t="s">
        <v>287</v>
      </c>
    </row>
    <row r="168" spans="1:11" x14ac:dyDescent="0.25">
      <c r="A168" s="130">
        <v>1</v>
      </c>
      <c r="B168" s="130">
        <v>2</v>
      </c>
      <c r="C168" s="130">
        <v>3</v>
      </c>
      <c r="D168" s="130">
        <v>4</v>
      </c>
      <c r="E168" s="130">
        <v>5</v>
      </c>
      <c r="F168" s="130">
        <v>6</v>
      </c>
      <c r="G168" s="130">
        <v>7</v>
      </c>
      <c r="H168" s="130">
        <v>8</v>
      </c>
      <c r="I168" s="130">
        <v>9</v>
      </c>
    </row>
    <row r="169" spans="1:11" x14ac:dyDescent="0.25">
      <c r="A169" s="54"/>
      <c r="B169" s="41" t="s">
        <v>34</v>
      </c>
      <c r="C169" s="91">
        <f t="shared" ref="C169:E169" si="124">C170</f>
        <v>1389265.32</v>
      </c>
      <c r="D169" s="91">
        <f>D170</f>
        <v>1660647</v>
      </c>
      <c r="E169" s="91">
        <f t="shared" si="124"/>
        <v>11019646.879999999</v>
      </c>
      <c r="F169" s="91">
        <f>F170</f>
        <v>9358999.879999999</v>
      </c>
      <c r="G169" s="91">
        <f t="shared" ref="G169:I169" si="125">G170</f>
        <v>2472633.91</v>
      </c>
      <c r="H169" s="91">
        <f t="shared" si="125"/>
        <v>-8547012.9699999988</v>
      </c>
      <c r="I169" s="91">
        <f t="shared" si="125"/>
        <v>0</v>
      </c>
    </row>
    <row r="170" spans="1:11" x14ac:dyDescent="0.25">
      <c r="A170" s="54" t="s">
        <v>186</v>
      </c>
      <c r="B170" s="41" t="s">
        <v>189</v>
      </c>
      <c r="C170" s="91">
        <f t="shared" ref="C170:E170" si="126">C171</f>
        <v>1389265.32</v>
      </c>
      <c r="D170" s="91">
        <f>D171</f>
        <v>1660647</v>
      </c>
      <c r="E170" s="91">
        <f t="shared" si="126"/>
        <v>11019646.879999999</v>
      </c>
      <c r="F170" s="91">
        <f>F171</f>
        <v>9358999.879999999</v>
      </c>
      <c r="G170" s="91">
        <f t="shared" ref="G170:I170" si="127">G171</f>
        <v>2472633.91</v>
      </c>
      <c r="H170" s="91">
        <f t="shared" si="127"/>
        <v>-8547012.9699999988</v>
      </c>
      <c r="I170" s="91">
        <f t="shared" si="127"/>
        <v>0</v>
      </c>
    </row>
    <row r="171" spans="1:11" x14ac:dyDescent="0.25">
      <c r="A171" s="55" t="s">
        <v>187</v>
      </c>
      <c r="B171" s="43" t="s">
        <v>188</v>
      </c>
      <c r="C171" s="91">
        <v>1389265.32</v>
      </c>
      <c r="D171" s="91">
        <v>1660647</v>
      </c>
      <c r="E171" s="91">
        <v>11019646.879999999</v>
      </c>
      <c r="F171" s="91">
        <f>E171-D171</f>
        <v>9358999.879999999</v>
      </c>
      <c r="G171" s="91">
        <v>2472633.91</v>
      </c>
      <c r="H171" s="91">
        <f>G171-E171</f>
        <v>-8547012.9699999988</v>
      </c>
      <c r="I171" s="91">
        <v>0</v>
      </c>
    </row>
  </sheetData>
  <mergeCells count="4">
    <mergeCell ref="B165:H165"/>
    <mergeCell ref="A2:H2"/>
    <mergeCell ref="A4:H4"/>
    <mergeCell ref="A113:H113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rowBreaks count="2" manualBreakCount="2">
    <brk id="111" max="8" man="1"/>
    <brk id="163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38"/>
  <sheetViews>
    <sheetView view="pageBreakPreview" zoomScale="60" zoomScaleNormal="70" workbookViewId="0">
      <selection activeCell="N16" sqref="N16"/>
    </sheetView>
  </sheetViews>
  <sheetFormatPr defaultColWidth="8.85546875" defaultRowHeight="15" x14ac:dyDescent="0.25"/>
  <cols>
    <col min="1" max="1" width="35.28515625" style="32" customWidth="1"/>
    <col min="2" max="2" width="74.7109375" style="32" customWidth="1"/>
    <col min="3" max="4" width="25.5703125" style="94" customWidth="1"/>
    <col min="5" max="7" width="25.28515625" style="94" customWidth="1"/>
    <col min="8" max="8" width="17.42578125" style="32" customWidth="1"/>
    <col min="9" max="16384" width="8.85546875" style="32"/>
  </cols>
  <sheetData>
    <row r="1" spans="1:8" ht="18.75" x14ac:dyDescent="0.25">
      <c r="A1" s="56"/>
      <c r="B1" s="31"/>
      <c r="C1" s="81"/>
      <c r="D1" s="81"/>
      <c r="E1" s="81"/>
      <c r="F1" s="82"/>
      <c r="G1" s="82"/>
    </row>
    <row r="2" spans="1:8" ht="15.75" x14ac:dyDescent="0.25">
      <c r="A2" s="163" t="s">
        <v>53</v>
      </c>
      <c r="B2" s="164"/>
      <c r="C2" s="164"/>
      <c r="D2" s="164"/>
      <c r="E2" s="164"/>
      <c r="F2" s="164"/>
      <c r="G2" s="164"/>
    </row>
    <row r="3" spans="1:8" ht="18.75" x14ac:dyDescent="0.25">
      <c r="A3" s="31"/>
      <c r="B3" s="31"/>
      <c r="C3" s="81"/>
      <c r="D3" s="81"/>
      <c r="E3" s="81"/>
      <c r="F3" s="82"/>
      <c r="G3" s="82"/>
    </row>
    <row r="4" spans="1:8" ht="33.75" customHeight="1" x14ac:dyDescent="0.25">
      <c r="A4" s="36" t="s">
        <v>54</v>
      </c>
      <c r="B4" s="36" t="s">
        <v>22</v>
      </c>
      <c r="C4" s="84" t="s">
        <v>279</v>
      </c>
      <c r="D4" s="83" t="s">
        <v>297</v>
      </c>
      <c r="E4" s="84" t="s">
        <v>286</v>
      </c>
      <c r="F4" s="83" t="s">
        <v>296</v>
      </c>
      <c r="G4" s="84" t="s">
        <v>286</v>
      </c>
      <c r="H4" s="84" t="s">
        <v>287</v>
      </c>
    </row>
    <row r="5" spans="1:8" s="40" customFormat="1" ht="11.25" x14ac:dyDescent="0.2">
      <c r="A5" s="39">
        <v>1</v>
      </c>
      <c r="B5" s="39">
        <v>2</v>
      </c>
      <c r="C5" s="120">
        <v>3</v>
      </c>
      <c r="D5" s="120">
        <v>4</v>
      </c>
      <c r="E5" s="120">
        <v>5</v>
      </c>
      <c r="F5" s="120">
        <v>6</v>
      </c>
      <c r="G5" s="120">
        <v>7</v>
      </c>
      <c r="H5" s="120">
        <v>8</v>
      </c>
    </row>
    <row r="6" spans="1:8" ht="28.5" customHeight="1" x14ac:dyDescent="0.25">
      <c r="A6" s="78" t="s">
        <v>61</v>
      </c>
      <c r="B6" s="78" t="s">
        <v>62</v>
      </c>
      <c r="C6" s="86">
        <f>C7</f>
        <v>1660647</v>
      </c>
      <c r="D6" s="86">
        <f>D7</f>
        <v>11019646.879999999</v>
      </c>
      <c r="E6" s="86">
        <f>E7</f>
        <v>9358999.879999999</v>
      </c>
      <c r="F6" s="86">
        <f t="shared" ref="F6:G6" si="0">F7</f>
        <v>2472633.91</v>
      </c>
      <c r="G6" s="86">
        <f t="shared" si="0"/>
        <v>-8547012.9699999988</v>
      </c>
      <c r="H6" s="121">
        <f t="shared" ref="H6:H16" si="1">F6/D6*100</f>
        <v>22.438413289700627</v>
      </c>
    </row>
    <row r="7" spans="1:8" ht="31.5" customHeight="1" x14ac:dyDescent="0.25">
      <c r="A7" s="76" t="s">
        <v>63</v>
      </c>
      <c r="B7" s="77" t="s">
        <v>64</v>
      </c>
      <c r="C7" s="87">
        <f>C8+C56+C70+C134</f>
        <v>1660647</v>
      </c>
      <c r="D7" s="87">
        <f>D8+D56+D70+D134</f>
        <v>11019646.879999999</v>
      </c>
      <c r="E7" s="87">
        <f>E8+E56+E70+E134</f>
        <v>9358999.879999999</v>
      </c>
      <c r="F7" s="87">
        <f>F8+F56+F70+F134</f>
        <v>2472633.91</v>
      </c>
      <c r="G7" s="87">
        <f>G8+G56+G70+G134</f>
        <v>-8547012.9699999988</v>
      </c>
      <c r="H7" s="122">
        <f t="shared" si="1"/>
        <v>22.438413289700627</v>
      </c>
    </row>
    <row r="8" spans="1:8" s="58" customFormat="1" x14ac:dyDescent="0.25">
      <c r="A8" s="74" t="s">
        <v>65</v>
      </c>
      <c r="B8" s="75" t="s">
        <v>66</v>
      </c>
      <c r="C8" s="88">
        <f>C9+C13+C46+C36+C40+C28+C52</f>
        <v>1466486.58</v>
      </c>
      <c r="D8" s="88">
        <f t="shared" ref="D8:G8" si="2">D9+D13+D46+D36+D40+D28+D52</f>
        <v>1391379.8599999999</v>
      </c>
      <c r="E8" s="88">
        <f>E9+E13+E46+E36+E40+E28+E52</f>
        <v>-75106.719999999972</v>
      </c>
      <c r="F8" s="88">
        <f t="shared" si="2"/>
        <v>1362451.8699999999</v>
      </c>
      <c r="G8" s="88">
        <f t="shared" si="2"/>
        <v>-28927.99</v>
      </c>
      <c r="H8" s="123">
        <f t="shared" si="1"/>
        <v>97.920913559867103</v>
      </c>
    </row>
    <row r="9" spans="1:8" x14ac:dyDescent="0.25">
      <c r="A9" s="79" t="s">
        <v>67</v>
      </c>
      <c r="B9" s="79" t="s">
        <v>68</v>
      </c>
      <c r="C9" s="89">
        <f t="shared" ref="C9:G10" si="3">C10</f>
        <v>1082040.94</v>
      </c>
      <c r="D9" s="89">
        <f t="shared" si="3"/>
        <v>1136000</v>
      </c>
      <c r="E9" s="89">
        <f t="shared" si="3"/>
        <v>53959.060000000056</v>
      </c>
      <c r="F9" s="89">
        <f t="shared" si="3"/>
        <v>1012000</v>
      </c>
      <c r="G9" s="89">
        <f t="shared" si="3"/>
        <v>-124000</v>
      </c>
      <c r="H9" s="124">
        <f t="shared" si="1"/>
        <v>89.08450704225352</v>
      </c>
    </row>
    <row r="10" spans="1:8" x14ac:dyDescent="0.25">
      <c r="A10" s="68" t="s">
        <v>76</v>
      </c>
      <c r="B10" s="59" t="s">
        <v>69</v>
      </c>
      <c r="C10" s="90">
        <f t="shared" si="3"/>
        <v>1082040.94</v>
      </c>
      <c r="D10" s="90">
        <f t="shared" si="3"/>
        <v>1136000</v>
      </c>
      <c r="E10" s="90">
        <f t="shared" si="3"/>
        <v>53959.060000000056</v>
      </c>
      <c r="F10" s="90">
        <f>F11</f>
        <v>1012000</v>
      </c>
      <c r="G10" s="90">
        <f>G11</f>
        <v>-124000</v>
      </c>
      <c r="H10" s="125">
        <f t="shared" si="1"/>
        <v>89.08450704225352</v>
      </c>
    </row>
    <row r="11" spans="1:8" x14ac:dyDescent="0.25">
      <c r="A11" s="61" t="s">
        <v>70</v>
      </c>
      <c r="B11" s="62" t="s">
        <v>35</v>
      </c>
      <c r="C11" s="91">
        <f>C12</f>
        <v>1082040.94</v>
      </c>
      <c r="D11" s="91">
        <f>D12</f>
        <v>1136000</v>
      </c>
      <c r="E11" s="91">
        <f>E12</f>
        <v>53959.060000000056</v>
      </c>
      <c r="F11" s="91">
        <f>F12</f>
        <v>1012000</v>
      </c>
      <c r="G11" s="92">
        <f>G12</f>
        <v>-124000</v>
      </c>
      <c r="H11" s="42">
        <f t="shared" si="1"/>
        <v>89.08450704225352</v>
      </c>
    </row>
    <row r="12" spans="1:8" x14ac:dyDescent="0.25">
      <c r="A12" s="63" t="s">
        <v>72</v>
      </c>
      <c r="B12" s="62" t="s">
        <v>68</v>
      </c>
      <c r="C12" s="91">
        <v>1082040.94</v>
      </c>
      <c r="D12" s="91">
        <v>1136000</v>
      </c>
      <c r="E12" s="91">
        <f>D12-C12</f>
        <v>53959.060000000056</v>
      </c>
      <c r="F12" s="91">
        <v>1012000</v>
      </c>
      <c r="G12" s="91">
        <f>F12-D12</f>
        <v>-124000</v>
      </c>
      <c r="H12" s="42">
        <f t="shared" si="1"/>
        <v>89.08450704225352</v>
      </c>
    </row>
    <row r="13" spans="1:8" x14ac:dyDescent="0.25">
      <c r="A13" s="80" t="s">
        <v>74</v>
      </c>
      <c r="B13" s="80" t="s">
        <v>75</v>
      </c>
      <c r="C13" s="93">
        <f>C14+C17+C22+C25</f>
        <v>119180</v>
      </c>
      <c r="D13" s="93">
        <f t="shared" ref="D13:G13" si="4">D14+D17+D22+D25</f>
        <v>199179.86</v>
      </c>
      <c r="E13" s="93">
        <f t="shared" si="4"/>
        <v>79999.86</v>
      </c>
      <c r="F13" s="93">
        <f t="shared" si="4"/>
        <v>292209.91999999998</v>
      </c>
      <c r="G13" s="93">
        <f t="shared" si="4"/>
        <v>93030.06</v>
      </c>
      <c r="H13" s="124">
        <f t="shared" si="1"/>
        <v>146.70655958890623</v>
      </c>
    </row>
    <row r="14" spans="1:8" s="72" customFormat="1" x14ac:dyDescent="0.25">
      <c r="A14" s="70" t="s">
        <v>76</v>
      </c>
      <c r="B14" s="71" t="s">
        <v>69</v>
      </c>
      <c r="C14" s="90">
        <f t="shared" ref="C14:E15" si="5">C15</f>
        <v>119180</v>
      </c>
      <c r="D14" s="90">
        <f t="shared" si="5"/>
        <v>119179.86</v>
      </c>
      <c r="E14" s="90">
        <f t="shared" si="5"/>
        <v>-0.13999999999941792</v>
      </c>
      <c r="F14" s="90">
        <f t="shared" ref="F14:G14" si="6">F15</f>
        <v>189700</v>
      </c>
      <c r="G14" s="90">
        <f t="shared" si="6"/>
        <v>70520.14</v>
      </c>
      <c r="H14" s="125">
        <f t="shared" si="1"/>
        <v>159.17118882334648</v>
      </c>
    </row>
    <row r="15" spans="1:8" x14ac:dyDescent="0.25">
      <c r="A15" s="61" t="s">
        <v>70</v>
      </c>
      <c r="B15" s="62" t="s">
        <v>35</v>
      </c>
      <c r="C15" s="91">
        <f t="shared" si="5"/>
        <v>119180</v>
      </c>
      <c r="D15" s="91">
        <f t="shared" si="5"/>
        <v>119179.86</v>
      </c>
      <c r="E15" s="91">
        <f t="shared" si="5"/>
        <v>-0.13999999999941792</v>
      </c>
      <c r="F15" s="91">
        <f t="shared" ref="F15:G15" si="7">F16</f>
        <v>189700</v>
      </c>
      <c r="G15" s="91">
        <f t="shared" si="7"/>
        <v>70520.14</v>
      </c>
      <c r="H15" s="42">
        <f t="shared" si="1"/>
        <v>159.17118882334648</v>
      </c>
    </row>
    <row r="16" spans="1:8" x14ac:dyDescent="0.25">
      <c r="A16" s="63" t="s">
        <v>71</v>
      </c>
      <c r="B16" s="62" t="s">
        <v>75</v>
      </c>
      <c r="C16" s="91">
        <v>119180</v>
      </c>
      <c r="D16" s="91">
        <v>119179.86</v>
      </c>
      <c r="E16" s="91">
        <f>D16-C16</f>
        <v>-0.13999999999941792</v>
      </c>
      <c r="F16" s="91">
        <v>189700</v>
      </c>
      <c r="G16" s="91">
        <f>F16-D16</f>
        <v>70520.14</v>
      </c>
      <c r="H16" s="42">
        <f t="shared" si="1"/>
        <v>159.17118882334648</v>
      </c>
    </row>
    <row r="17" spans="1:8" x14ac:dyDescent="0.25">
      <c r="A17" s="60" t="s">
        <v>77</v>
      </c>
      <c r="B17" s="59" t="s">
        <v>78</v>
      </c>
      <c r="C17" s="91">
        <f>C18+C20</f>
        <v>0</v>
      </c>
      <c r="D17" s="91">
        <f>D18+D20</f>
        <v>0</v>
      </c>
      <c r="E17" s="90">
        <f>E18+E20</f>
        <v>0</v>
      </c>
      <c r="F17" s="90">
        <f>F18+F20</f>
        <v>0</v>
      </c>
      <c r="G17" s="90">
        <f>G18+G20</f>
        <v>0</v>
      </c>
      <c r="H17" s="90"/>
    </row>
    <row r="18" spans="1:8" x14ac:dyDescent="0.25">
      <c r="A18" s="61" t="s">
        <v>70</v>
      </c>
      <c r="B18" s="62" t="s">
        <v>35</v>
      </c>
      <c r="C18" s="91">
        <f>C19</f>
        <v>0</v>
      </c>
      <c r="D18" s="91">
        <f>D19</f>
        <v>0</v>
      </c>
      <c r="E18" s="91">
        <f>E19</f>
        <v>0</v>
      </c>
      <c r="F18" s="91">
        <f t="shared" ref="F18:F20" si="8">F19</f>
        <v>0</v>
      </c>
      <c r="G18" s="91">
        <f t="shared" ref="G18:G20" si="9">G19</f>
        <v>0</v>
      </c>
      <c r="H18" s="91"/>
    </row>
    <row r="19" spans="1:8" x14ac:dyDescent="0.25">
      <c r="A19" s="63" t="s">
        <v>71</v>
      </c>
      <c r="B19" s="62" t="s">
        <v>75</v>
      </c>
      <c r="C19" s="91">
        <v>0</v>
      </c>
      <c r="D19" s="91">
        <v>0</v>
      </c>
      <c r="E19" s="91">
        <f>D19-C19</f>
        <v>0</v>
      </c>
      <c r="F19" s="91">
        <v>0</v>
      </c>
      <c r="G19" s="91">
        <f>F19-D19</f>
        <v>0</v>
      </c>
      <c r="H19" s="42"/>
    </row>
    <row r="20" spans="1:8" x14ac:dyDescent="0.25">
      <c r="A20" s="61" t="s">
        <v>94</v>
      </c>
      <c r="B20" s="73" t="s">
        <v>38</v>
      </c>
      <c r="C20" s="91">
        <f>C21</f>
        <v>0</v>
      </c>
      <c r="D20" s="91">
        <f>D21</f>
        <v>0</v>
      </c>
      <c r="E20" s="91">
        <f>E21</f>
        <v>0</v>
      </c>
      <c r="F20" s="91">
        <f t="shared" si="8"/>
        <v>0</v>
      </c>
      <c r="G20" s="91">
        <f t="shared" si="9"/>
        <v>0</v>
      </c>
      <c r="H20" s="91"/>
    </row>
    <row r="21" spans="1:8" x14ac:dyDescent="0.25">
      <c r="A21" s="63" t="s">
        <v>93</v>
      </c>
      <c r="B21" s="73" t="s">
        <v>122</v>
      </c>
      <c r="C21" s="91">
        <v>0</v>
      </c>
      <c r="D21" s="91">
        <v>0</v>
      </c>
      <c r="E21" s="91">
        <f>D21-C21</f>
        <v>0</v>
      </c>
      <c r="F21" s="91">
        <v>0</v>
      </c>
      <c r="G21" s="91">
        <f>F21-D21</f>
        <v>0</v>
      </c>
      <c r="H21" s="91"/>
    </row>
    <row r="22" spans="1:8" x14ac:dyDescent="0.25">
      <c r="A22" s="60" t="s">
        <v>131</v>
      </c>
      <c r="B22" s="59" t="s">
        <v>78</v>
      </c>
      <c r="C22" s="91">
        <f>C23</f>
        <v>0</v>
      </c>
      <c r="D22" s="91">
        <f>D23</f>
        <v>80000</v>
      </c>
      <c r="E22" s="90">
        <f>E23</f>
        <v>80000</v>
      </c>
      <c r="F22" s="90">
        <f>F23</f>
        <v>86000</v>
      </c>
      <c r="G22" s="90">
        <f>G23</f>
        <v>6000</v>
      </c>
      <c r="H22" s="125">
        <f>F22/D22*100</f>
        <v>107.5</v>
      </c>
    </row>
    <row r="23" spans="1:8" x14ac:dyDescent="0.25">
      <c r="A23" s="61" t="s">
        <v>70</v>
      </c>
      <c r="B23" s="62" t="s">
        <v>35</v>
      </c>
      <c r="C23" s="91">
        <f>C24</f>
        <v>0</v>
      </c>
      <c r="D23" s="91">
        <f>D24</f>
        <v>80000</v>
      </c>
      <c r="E23" s="91">
        <f>E24</f>
        <v>80000</v>
      </c>
      <c r="F23" s="91">
        <f t="shared" ref="F23:G23" si="10">F24</f>
        <v>86000</v>
      </c>
      <c r="G23" s="91">
        <f t="shared" si="10"/>
        <v>6000</v>
      </c>
      <c r="H23" s="42">
        <f>F23/D23*100</f>
        <v>107.5</v>
      </c>
    </row>
    <row r="24" spans="1:8" x14ac:dyDescent="0.25">
      <c r="A24" s="63" t="s">
        <v>71</v>
      </c>
      <c r="B24" s="62" t="s">
        <v>75</v>
      </c>
      <c r="C24" s="91">
        <v>0</v>
      </c>
      <c r="D24" s="96">
        <v>80000</v>
      </c>
      <c r="E24" s="91">
        <f>D24-C24</f>
        <v>80000</v>
      </c>
      <c r="F24" s="91">
        <v>86000</v>
      </c>
      <c r="G24" s="91">
        <f>F24-D24</f>
        <v>6000</v>
      </c>
      <c r="H24" s="42">
        <f>F24/D24*100</f>
        <v>107.5</v>
      </c>
    </row>
    <row r="25" spans="1:8" x14ac:dyDescent="0.25">
      <c r="A25" s="60" t="s">
        <v>283</v>
      </c>
      <c r="B25" s="62" t="s">
        <v>284</v>
      </c>
      <c r="C25" s="90">
        <f>C26</f>
        <v>0</v>
      </c>
      <c r="D25" s="90">
        <f t="shared" ref="D25:G26" si="11">D26</f>
        <v>0</v>
      </c>
      <c r="E25" s="90">
        <f t="shared" si="11"/>
        <v>0</v>
      </c>
      <c r="F25" s="90">
        <f t="shared" si="11"/>
        <v>16509.919999999998</v>
      </c>
      <c r="G25" s="90">
        <f t="shared" si="11"/>
        <v>16509.919999999998</v>
      </c>
      <c r="H25" s="90"/>
    </row>
    <row r="26" spans="1:8" x14ac:dyDescent="0.25">
      <c r="A26" s="61" t="s">
        <v>70</v>
      </c>
      <c r="B26" s="73" t="s">
        <v>35</v>
      </c>
      <c r="C26" s="91">
        <f>C27</f>
        <v>0</v>
      </c>
      <c r="D26" s="91">
        <f t="shared" si="11"/>
        <v>0</v>
      </c>
      <c r="E26" s="91">
        <f t="shared" si="11"/>
        <v>0</v>
      </c>
      <c r="F26" s="91">
        <f t="shared" si="11"/>
        <v>16509.919999999998</v>
      </c>
      <c r="G26" s="91">
        <f t="shared" si="11"/>
        <v>16509.919999999998</v>
      </c>
      <c r="H26" s="91"/>
    </row>
    <row r="27" spans="1:8" x14ac:dyDescent="0.25">
      <c r="A27" s="63" t="s">
        <v>142</v>
      </c>
      <c r="B27" s="73" t="s">
        <v>247</v>
      </c>
      <c r="C27" s="91">
        <v>0</v>
      </c>
      <c r="D27" s="96">
        <v>0</v>
      </c>
      <c r="E27" s="91">
        <f>D27-C27</f>
        <v>0</v>
      </c>
      <c r="F27" s="91">
        <v>16509.919999999998</v>
      </c>
      <c r="G27" s="91">
        <f>F27-D27</f>
        <v>16509.919999999998</v>
      </c>
      <c r="H27" s="42"/>
    </row>
    <row r="28" spans="1:8" x14ac:dyDescent="0.25">
      <c r="A28" s="80" t="s">
        <v>135</v>
      </c>
      <c r="B28" s="80" t="s">
        <v>136</v>
      </c>
      <c r="C28" s="93">
        <f>C29</f>
        <v>80000</v>
      </c>
      <c r="D28" s="93">
        <f t="shared" ref="D28:G28" si="12">D29</f>
        <v>0</v>
      </c>
      <c r="E28" s="93">
        <f t="shared" si="12"/>
        <v>-80000</v>
      </c>
      <c r="F28" s="93">
        <f t="shared" si="12"/>
        <v>0</v>
      </c>
      <c r="G28" s="93">
        <f t="shared" si="12"/>
        <v>0</v>
      </c>
      <c r="H28" s="124">
        <v>0</v>
      </c>
    </row>
    <row r="29" spans="1:8" x14ac:dyDescent="0.25">
      <c r="A29" s="70" t="s">
        <v>134</v>
      </c>
      <c r="B29" s="71" t="s">
        <v>43</v>
      </c>
      <c r="C29" s="90">
        <f>C30+C33</f>
        <v>80000</v>
      </c>
      <c r="D29" s="90">
        <f>D30</f>
        <v>0</v>
      </c>
      <c r="E29" s="90">
        <f t="shared" ref="E29:G30" si="13">E30</f>
        <v>-80000</v>
      </c>
      <c r="F29" s="90">
        <f t="shared" si="13"/>
        <v>0</v>
      </c>
      <c r="G29" s="90">
        <f t="shared" si="13"/>
        <v>0</v>
      </c>
      <c r="H29" s="125"/>
    </row>
    <row r="30" spans="1:8" x14ac:dyDescent="0.25">
      <c r="A30" s="61" t="s">
        <v>70</v>
      </c>
      <c r="B30" s="62" t="s">
        <v>35</v>
      </c>
      <c r="C30" s="91">
        <f>C31+C32</f>
        <v>80000</v>
      </c>
      <c r="D30" s="91">
        <f>D31</f>
        <v>0</v>
      </c>
      <c r="E30" s="91">
        <f t="shared" si="13"/>
        <v>-80000</v>
      </c>
      <c r="F30" s="91">
        <f t="shared" si="13"/>
        <v>0</v>
      </c>
      <c r="G30" s="91">
        <f t="shared" si="13"/>
        <v>0</v>
      </c>
      <c r="H30" s="42"/>
    </row>
    <row r="31" spans="1:8" x14ac:dyDescent="0.25">
      <c r="A31" s="63" t="s">
        <v>71</v>
      </c>
      <c r="B31" s="62" t="s">
        <v>75</v>
      </c>
      <c r="C31" s="91">
        <v>80000</v>
      </c>
      <c r="D31" s="91">
        <v>0</v>
      </c>
      <c r="E31" s="91">
        <f>D31-C31</f>
        <v>-80000</v>
      </c>
      <c r="F31" s="91">
        <v>0</v>
      </c>
      <c r="G31" s="91">
        <f>F31-D31</f>
        <v>0</v>
      </c>
      <c r="H31" s="42"/>
    </row>
    <row r="32" spans="1:8" x14ac:dyDescent="0.25">
      <c r="A32" s="63" t="s">
        <v>83</v>
      </c>
      <c r="B32" s="62" t="s">
        <v>124</v>
      </c>
      <c r="C32" s="91">
        <v>0</v>
      </c>
      <c r="D32" s="91">
        <v>0</v>
      </c>
      <c r="E32" s="91">
        <f>D32-C32</f>
        <v>0</v>
      </c>
      <c r="F32" s="91">
        <v>0</v>
      </c>
      <c r="G32" s="91">
        <f>F32-D32</f>
        <v>0</v>
      </c>
      <c r="H32" s="91"/>
    </row>
    <row r="33" spans="1:8" x14ac:dyDescent="0.25">
      <c r="A33" s="61" t="s">
        <v>94</v>
      </c>
      <c r="B33" s="73" t="s">
        <v>38</v>
      </c>
      <c r="C33" s="91">
        <f>C34+C35</f>
        <v>0</v>
      </c>
      <c r="D33" s="91">
        <f>D34+D35</f>
        <v>0</v>
      </c>
      <c r="E33" s="91">
        <f t="shared" ref="E33:G33" si="14">E34+E35</f>
        <v>0</v>
      </c>
      <c r="F33" s="91">
        <f t="shared" si="14"/>
        <v>0</v>
      </c>
      <c r="G33" s="91">
        <f t="shared" si="14"/>
        <v>0</v>
      </c>
      <c r="H33" s="91"/>
    </row>
    <row r="34" spans="1:8" x14ac:dyDescent="0.25">
      <c r="A34" s="63" t="s">
        <v>93</v>
      </c>
      <c r="B34" s="73" t="s">
        <v>122</v>
      </c>
      <c r="C34" s="91">
        <v>0</v>
      </c>
      <c r="D34" s="91">
        <v>0</v>
      </c>
      <c r="E34" s="91">
        <f>D34-C34</f>
        <v>0</v>
      </c>
      <c r="F34" s="91">
        <v>0</v>
      </c>
      <c r="G34" s="91">
        <f>F34-D34</f>
        <v>0</v>
      </c>
      <c r="H34" s="91"/>
    </row>
    <row r="35" spans="1:8" x14ac:dyDescent="0.25">
      <c r="A35" s="63" t="s">
        <v>98</v>
      </c>
      <c r="B35" s="73" t="s">
        <v>123</v>
      </c>
      <c r="C35" s="91">
        <v>0</v>
      </c>
      <c r="D35" s="91">
        <v>0</v>
      </c>
      <c r="E35" s="91">
        <f>D35-C35</f>
        <v>0</v>
      </c>
      <c r="F35" s="91">
        <v>0</v>
      </c>
      <c r="G35" s="91">
        <f>F35-D35</f>
        <v>0</v>
      </c>
      <c r="H35" s="91"/>
    </row>
    <row r="36" spans="1:8" x14ac:dyDescent="0.25">
      <c r="A36" s="80" t="s">
        <v>132</v>
      </c>
      <c r="B36" s="80" t="s">
        <v>133</v>
      </c>
      <c r="C36" s="93">
        <f t="shared" ref="C36:D38" si="15">C37</f>
        <v>30000</v>
      </c>
      <c r="D36" s="93">
        <f t="shared" si="15"/>
        <v>30000</v>
      </c>
      <c r="E36" s="93">
        <f t="shared" ref="E36:G36" si="16">E37</f>
        <v>0</v>
      </c>
      <c r="F36" s="93">
        <f t="shared" si="16"/>
        <v>26000</v>
      </c>
      <c r="G36" s="93">
        <f t="shared" si="16"/>
        <v>-4000</v>
      </c>
      <c r="H36" s="124">
        <f>F36/D36*100</f>
        <v>86.666666666666671</v>
      </c>
    </row>
    <row r="37" spans="1:8" x14ac:dyDescent="0.25">
      <c r="A37" s="70" t="s">
        <v>76</v>
      </c>
      <c r="B37" s="71" t="s">
        <v>69</v>
      </c>
      <c r="C37" s="90">
        <f t="shared" si="15"/>
        <v>30000</v>
      </c>
      <c r="D37" s="90">
        <f t="shared" si="15"/>
        <v>30000</v>
      </c>
      <c r="E37" s="90">
        <f>E38</f>
        <v>0</v>
      </c>
      <c r="F37" s="90">
        <f t="shared" ref="F37:G38" si="17">F38</f>
        <v>26000</v>
      </c>
      <c r="G37" s="90">
        <f t="shared" si="17"/>
        <v>-4000</v>
      </c>
      <c r="H37" s="125">
        <f>F37/D37*100</f>
        <v>86.666666666666671</v>
      </c>
    </row>
    <row r="38" spans="1:8" x14ac:dyDescent="0.25">
      <c r="A38" s="61" t="s">
        <v>70</v>
      </c>
      <c r="B38" s="62" t="s">
        <v>35</v>
      </c>
      <c r="C38" s="91">
        <f t="shared" si="15"/>
        <v>30000</v>
      </c>
      <c r="D38" s="91">
        <f t="shared" si="15"/>
        <v>30000</v>
      </c>
      <c r="E38" s="91">
        <f>E39</f>
        <v>0</v>
      </c>
      <c r="F38" s="91">
        <f t="shared" si="17"/>
        <v>26000</v>
      </c>
      <c r="G38" s="91">
        <f t="shared" si="17"/>
        <v>-4000</v>
      </c>
      <c r="H38" s="42">
        <f>F38/D38*100</f>
        <v>86.666666666666671</v>
      </c>
    </row>
    <row r="39" spans="1:8" x14ac:dyDescent="0.25">
      <c r="A39" s="63" t="s">
        <v>71</v>
      </c>
      <c r="B39" s="62" t="s">
        <v>75</v>
      </c>
      <c r="C39" s="91">
        <v>30000</v>
      </c>
      <c r="D39" s="91">
        <v>30000</v>
      </c>
      <c r="E39" s="91">
        <f>D39-C39</f>
        <v>0</v>
      </c>
      <c r="F39" s="91">
        <v>26000</v>
      </c>
      <c r="G39" s="91">
        <f>F39-D39</f>
        <v>-4000</v>
      </c>
      <c r="H39" s="42">
        <f>F39/D39*100</f>
        <v>86.666666666666671</v>
      </c>
    </row>
    <row r="40" spans="1:8" x14ac:dyDescent="0.25">
      <c r="A40" s="80" t="s">
        <v>95</v>
      </c>
      <c r="B40" s="80" t="s">
        <v>125</v>
      </c>
      <c r="C40" s="93">
        <f>C41</f>
        <v>0</v>
      </c>
      <c r="D40" s="93">
        <f>D41</f>
        <v>16200</v>
      </c>
      <c r="E40" s="93">
        <f>E41</f>
        <v>16200</v>
      </c>
      <c r="F40" s="93">
        <f>F41</f>
        <v>16200</v>
      </c>
      <c r="G40" s="93">
        <f>G41</f>
        <v>0</v>
      </c>
      <c r="H40" s="124">
        <f t="shared" ref="H40:H45" si="18">F40/D40*100</f>
        <v>100</v>
      </c>
    </row>
    <row r="41" spans="1:8" x14ac:dyDescent="0.25">
      <c r="A41" s="68" t="s">
        <v>96</v>
      </c>
      <c r="B41" s="71" t="s">
        <v>97</v>
      </c>
      <c r="C41" s="90">
        <f>C42+C44</f>
        <v>0</v>
      </c>
      <c r="D41" s="90">
        <f>D42+D44</f>
        <v>16200</v>
      </c>
      <c r="E41" s="90">
        <f>E42+E44</f>
        <v>16200</v>
      </c>
      <c r="F41" s="90">
        <f t="shared" ref="F41" si="19">F42+F44</f>
        <v>16200</v>
      </c>
      <c r="G41" s="90">
        <f t="shared" ref="G41" si="20">G42+G44</f>
        <v>0</v>
      </c>
      <c r="H41" s="125">
        <f t="shared" si="18"/>
        <v>100</v>
      </c>
    </row>
    <row r="42" spans="1:8" x14ac:dyDescent="0.25">
      <c r="A42" s="61" t="s">
        <v>70</v>
      </c>
      <c r="B42" s="62" t="s">
        <v>35</v>
      </c>
      <c r="C42" s="91">
        <f>C43</f>
        <v>0</v>
      </c>
      <c r="D42" s="91">
        <f>D43</f>
        <v>6200</v>
      </c>
      <c r="E42" s="91">
        <f>E43</f>
        <v>6200</v>
      </c>
      <c r="F42" s="91">
        <f t="shared" ref="F42" si="21">F43</f>
        <v>9300</v>
      </c>
      <c r="G42" s="91">
        <f t="shared" ref="G42" si="22">G43</f>
        <v>3100</v>
      </c>
      <c r="H42" s="42">
        <f t="shared" si="18"/>
        <v>150</v>
      </c>
    </row>
    <row r="43" spans="1:8" x14ac:dyDescent="0.25">
      <c r="A43" s="63" t="s">
        <v>71</v>
      </c>
      <c r="B43" s="62" t="s">
        <v>75</v>
      </c>
      <c r="C43" s="91">
        <v>0</v>
      </c>
      <c r="D43" s="91">
        <v>6200</v>
      </c>
      <c r="E43" s="91">
        <f>D43-C43</f>
        <v>6200</v>
      </c>
      <c r="F43" s="91">
        <v>9300</v>
      </c>
      <c r="G43" s="91">
        <f>F43-D43</f>
        <v>3100</v>
      </c>
      <c r="H43" s="42">
        <f t="shared" si="18"/>
        <v>150</v>
      </c>
    </row>
    <row r="44" spans="1:8" x14ac:dyDescent="0.25">
      <c r="A44" s="61" t="s">
        <v>94</v>
      </c>
      <c r="B44" s="62" t="s">
        <v>38</v>
      </c>
      <c r="C44" s="91">
        <f>C45</f>
        <v>0</v>
      </c>
      <c r="D44" s="91">
        <f>D45</f>
        <v>10000</v>
      </c>
      <c r="E44" s="91">
        <f>E45</f>
        <v>10000</v>
      </c>
      <c r="F44" s="91">
        <f t="shared" ref="F44" si="23">F45</f>
        <v>6900</v>
      </c>
      <c r="G44" s="91">
        <f t="shared" ref="G44" si="24">G45</f>
        <v>-3100</v>
      </c>
      <c r="H44" s="42">
        <f t="shared" si="18"/>
        <v>69</v>
      </c>
    </row>
    <row r="45" spans="1:8" x14ac:dyDescent="0.25">
      <c r="A45" s="63" t="s">
        <v>98</v>
      </c>
      <c r="B45" s="73" t="s">
        <v>123</v>
      </c>
      <c r="C45" s="91">
        <v>0</v>
      </c>
      <c r="D45" s="91">
        <v>10000</v>
      </c>
      <c r="E45" s="91">
        <f>D45-C45</f>
        <v>10000</v>
      </c>
      <c r="F45" s="91">
        <f>2400+4500</f>
        <v>6900</v>
      </c>
      <c r="G45" s="91">
        <f>F45-D45</f>
        <v>-3100</v>
      </c>
      <c r="H45" s="42">
        <f t="shared" si="18"/>
        <v>69</v>
      </c>
    </row>
    <row r="46" spans="1:8" x14ac:dyDescent="0.25">
      <c r="A46" s="80" t="s">
        <v>85</v>
      </c>
      <c r="B46" s="80" t="s">
        <v>88</v>
      </c>
      <c r="C46" s="93">
        <f t="shared" ref="C46:D47" si="25">C47</f>
        <v>10000</v>
      </c>
      <c r="D46" s="93">
        <f t="shared" si="25"/>
        <v>10000</v>
      </c>
      <c r="E46" s="93">
        <f>E47</f>
        <v>0</v>
      </c>
      <c r="F46" s="93">
        <f t="shared" ref="F46:G46" si="26">F47</f>
        <v>16041.95</v>
      </c>
      <c r="G46" s="93">
        <f t="shared" si="26"/>
        <v>6041.9500000000007</v>
      </c>
      <c r="H46" s="124">
        <f>F46/D46*100</f>
        <v>160.4195</v>
      </c>
    </row>
    <row r="47" spans="1:8" x14ac:dyDescent="0.25">
      <c r="A47" s="70" t="s">
        <v>86</v>
      </c>
      <c r="B47" s="71" t="s">
        <v>87</v>
      </c>
      <c r="C47" s="90">
        <f t="shared" si="25"/>
        <v>10000</v>
      </c>
      <c r="D47" s="90">
        <f t="shared" si="25"/>
        <v>10000</v>
      </c>
      <c r="E47" s="90">
        <f>E48</f>
        <v>0</v>
      </c>
      <c r="F47" s="90">
        <f t="shared" ref="F47:G47" si="27">F48</f>
        <v>16041.95</v>
      </c>
      <c r="G47" s="90">
        <f t="shared" si="27"/>
        <v>6041.9500000000007</v>
      </c>
      <c r="H47" s="125">
        <f>F47/D47*100</f>
        <v>160.4195</v>
      </c>
    </row>
    <row r="48" spans="1:8" x14ac:dyDescent="0.25">
      <c r="A48" s="61" t="s">
        <v>70</v>
      </c>
      <c r="B48" s="62" t="s">
        <v>35</v>
      </c>
      <c r="C48" s="91">
        <f>C49+C50+C51</f>
        <v>10000</v>
      </c>
      <c r="D48" s="91">
        <f t="shared" ref="D48:G48" si="28">D49+D50+D51</f>
        <v>10000</v>
      </c>
      <c r="E48" s="91">
        <f>E49+E50+E51</f>
        <v>0</v>
      </c>
      <c r="F48" s="91">
        <f t="shared" si="28"/>
        <v>16041.95</v>
      </c>
      <c r="G48" s="91">
        <f t="shared" si="28"/>
        <v>6041.9500000000007</v>
      </c>
      <c r="H48" s="42">
        <f>F48/D48*100</f>
        <v>160.4195</v>
      </c>
    </row>
    <row r="49" spans="1:8" x14ac:dyDescent="0.25">
      <c r="A49" s="63" t="s">
        <v>72</v>
      </c>
      <c r="B49" s="62" t="s">
        <v>68</v>
      </c>
      <c r="C49" s="91">
        <v>0</v>
      </c>
      <c r="D49" s="91">
        <v>2000</v>
      </c>
      <c r="E49" s="91">
        <f t="shared" ref="E49:E51" si="29">D49-C49</f>
        <v>2000</v>
      </c>
      <c r="F49" s="91">
        <v>1237</v>
      </c>
      <c r="G49" s="91">
        <f t="shared" ref="G49:G51" si="30">F49-D49</f>
        <v>-763</v>
      </c>
      <c r="H49" s="42">
        <f>F49/D49*100</f>
        <v>61.850000000000009</v>
      </c>
    </row>
    <row r="50" spans="1:8" x14ac:dyDescent="0.25">
      <c r="A50" s="63" t="s">
        <v>71</v>
      </c>
      <c r="B50" s="62" t="s">
        <v>75</v>
      </c>
      <c r="C50" s="91">
        <v>1300</v>
      </c>
      <c r="D50" s="91">
        <v>8000</v>
      </c>
      <c r="E50" s="91">
        <f t="shared" si="29"/>
        <v>6700</v>
      </c>
      <c r="F50" s="91">
        <f>750+1197.75+12857.2</f>
        <v>14804.95</v>
      </c>
      <c r="G50" s="91">
        <f t="shared" si="30"/>
        <v>6804.9500000000007</v>
      </c>
      <c r="H50" s="42">
        <f>F50/D50*100</f>
        <v>185.06187500000001</v>
      </c>
    </row>
    <row r="51" spans="1:8" x14ac:dyDescent="0.25">
      <c r="A51" s="63" t="s">
        <v>137</v>
      </c>
      <c r="B51" s="62" t="s">
        <v>138</v>
      </c>
      <c r="C51" s="91">
        <v>8700</v>
      </c>
      <c r="D51" s="91">
        <v>0</v>
      </c>
      <c r="E51" s="91">
        <f t="shared" si="29"/>
        <v>-8700</v>
      </c>
      <c r="F51" s="91">
        <v>0</v>
      </c>
      <c r="G51" s="91">
        <f t="shared" si="30"/>
        <v>0</v>
      </c>
      <c r="H51" s="42"/>
    </row>
    <row r="52" spans="1:8" x14ac:dyDescent="0.25">
      <c r="A52" s="80" t="s">
        <v>139</v>
      </c>
      <c r="B52" s="80" t="s">
        <v>140</v>
      </c>
      <c r="C52" s="93">
        <f>C53</f>
        <v>145265.64000000001</v>
      </c>
      <c r="D52" s="93">
        <f t="shared" ref="D52:G52" si="31">D53</f>
        <v>0</v>
      </c>
      <c r="E52" s="93">
        <f t="shared" si="31"/>
        <v>-145265.64000000001</v>
      </c>
      <c r="F52" s="93">
        <f t="shared" si="31"/>
        <v>0</v>
      </c>
      <c r="G52" s="93">
        <f t="shared" si="31"/>
        <v>0</v>
      </c>
      <c r="H52" s="124"/>
    </row>
    <row r="53" spans="1:8" x14ac:dyDescent="0.25">
      <c r="A53" s="70" t="s">
        <v>76</v>
      </c>
      <c r="B53" s="71" t="s">
        <v>69</v>
      </c>
      <c r="C53" s="90">
        <f>C54</f>
        <v>145265.64000000001</v>
      </c>
      <c r="D53" s="90">
        <f>D54</f>
        <v>0</v>
      </c>
      <c r="E53" s="90">
        <f>E54</f>
        <v>-145265.64000000001</v>
      </c>
      <c r="F53" s="90">
        <f t="shared" ref="F53:G54" si="32">F54</f>
        <v>0</v>
      </c>
      <c r="G53" s="90">
        <f t="shared" si="32"/>
        <v>0</v>
      </c>
      <c r="H53" s="125"/>
    </row>
    <row r="54" spans="1:8" x14ac:dyDescent="0.25">
      <c r="A54" s="61" t="s">
        <v>94</v>
      </c>
      <c r="B54" s="62" t="s">
        <v>38</v>
      </c>
      <c r="C54" s="91">
        <f>C55</f>
        <v>145265.64000000001</v>
      </c>
      <c r="D54" s="91">
        <f>D55</f>
        <v>0</v>
      </c>
      <c r="E54" s="91">
        <f>E55</f>
        <v>-145265.64000000001</v>
      </c>
      <c r="F54" s="91">
        <f t="shared" si="32"/>
        <v>0</v>
      </c>
      <c r="G54" s="91">
        <f t="shared" si="32"/>
        <v>0</v>
      </c>
      <c r="H54" s="42"/>
    </row>
    <row r="55" spans="1:8" x14ac:dyDescent="0.25">
      <c r="A55" s="63" t="s">
        <v>98</v>
      </c>
      <c r="B55" s="73" t="s">
        <v>123</v>
      </c>
      <c r="C55" s="91">
        <v>145265.64000000001</v>
      </c>
      <c r="D55" s="91">
        <v>0</v>
      </c>
      <c r="E55" s="91">
        <f>D55-C55</f>
        <v>-145265.64000000001</v>
      </c>
      <c r="F55" s="91">
        <v>0</v>
      </c>
      <c r="G55" s="91">
        <f>F55-D55</f>
        <v>0</v>
      </c>
      <c r="H55" s="42"/>
    </row>
    <row r="56" spans="1:8" ht="31.5" customHeight="1" x14ac:dyDescent="0.25">
      <c r="A56" s="74" t="s">
        <v>81</v>
      </c>
      <c r="B56" s="75" t="s">
        <v>82</v>
      </c>
      <c r="C56" s="88">
        <f>C57</f>
        <v>138400</v>
      </c>
      <c r="D56" s="88">
        <f>D57</f>
        <v>138400</v>
      </c>
      <c r="E56" s="88">
        <f>E57</f>
        <v>0</v>
      </c>
      <c r="F56" s="88">
        <f>F57</f>
        <v>121400</v>
      </c>
      <c r="G56" s="88">
        <f>G57</f>
        <v>-17000</v>
      </c>
      <c r="H56" s="123">
        <f t="shared" ref="H56:H61" si="33">F56/D56*100</f>
        <v>87.716763005780351</v>
      </c>
    </row>
    <row r="57" spans="1:8" x14ac:dyDescent="0.25">
      <c r="A57" s="79" t="s">
        <v>79</v>
      </c>
      <c r="B57" s="79" t="s">
        <v>80</v>
      </c>
      <c r="C57" s="89">
        <f>C58+C64+C67</f>
        <v>138400</v>
      </c>
      <c r="D57" s="89">
        <f>D58+D64+D67</f>
        <v>138400</v>
      </c>
      <c r="E57" s="89">
        <f>E58+E64+E67</f>
        <v>0</v>
      </c>
      <c r="F57" s="89">
        <f>F58+F64+F67</f>
        <v>121400</v>
      </c>
      <c r="G57" s="89">
        <f>G58+G64+G67</f>
        <v>-17000</v>
      </c>
      <c r="H57" s="124">
        <f t="shared" si="33"/>
        <v>87.716763005780351</v>
      </c>
    </row>
    <row r="58" spans="1:8" x14ac:dyDescent="0.25">
      <c r="A58" s="70" t="s">
        <v>76</v>
      </c>
      <c r="B58" s="71" t="s">
        <v>69</v>
      </c>
      <c r="C58" s="90">
        <f>C59+C62</f>
        <v>66400</v>
      </c>
      <c r="D58" s="90">
        <f t="shared" ref="D58:G58" si="34">D59+D62</f>
        <v>66400</v>
      </c>
      <c r="E58" s="90">
        <f t="shared" si="34"/>
        <v>0</v>
      </c>
      <c r="F58" s="90">
        <f t="shared" si="34"/>
        <v>99400</v>
      </c>
      <c r="G58" s="90">
        <f t="shared" si="34"/>
        <v>33000</v>
      </c>
      <c r="H58" s="125">
        <f t="shared" si="33"/>
        <v>149.6987951807229</v>
      </c>
    </row>
    <row r="59" spans="1:8" x14ac:dyDescent="0.25">
      <c r="A59" s="61" t="s">
        <v>70</v>
      </c>
      <c r="B59" s="62" t="s">
        <v>35</v>
      </c>
      <c r="C59" s="91">
        <f>C60+C61</f>
        <v>66400</v>
      </c>
      <c r="D59" s="91">
        <f>D60+D61</f>
        <v>66400</v>
      </c>
      <c r="E59" s="91">
        <f>E60+E61</f>
        <v>0</v>
      </c>
      <c r="F59" s="91">
        <f t="shared" ref="F59:G59" si="35">F60+F61</f>
        <v>97138.19</v>
      </c>
      <c r="G59" s="91">
        <f t="shared" si="35"/>
        <v>30738.190000000002</v>
      </c>
      <c r="H59" s="42">
        <f t="shared" si="33"/>
        <v>146.29245481927711</v>
      </c>
    </row>
    <row r="60" spans="1:8" x14ac:dyDescent="0.25">
      <c r="A60" s="63" t="s">
        <v>71</v>
      </c>
      <c r="B60" s="62" t="s">
        <v>75</v>
      </c>
      <c r="C60" s="91">
        <v>65200</v>
      </c>
      <c r="D60" s="91">
        <v>65200</v>
      </c>
      <c r="E60" s="91">
        <f t="shared" ref="E60:E61" si="36">D60-C60</f>
        <v>0</v>
      </c>
      <c r="F60" s="91">
        <v>95938.19</v>
      </c>
      <c r="G60" s="91">
        <f t="shared" ref="G60:G61" si="37">F60-D60</f>
        <v>30738.190000000002</v>
      </c>
      <c r="H60" s="42">
        <f t="shared" si="33"/>
        <v>147.14446319018407</v>
      </c>
    </row>
    <row r="61" spans="1:8" x14ac:dyDescent="0.25">
      <c r="A61" s="63" t="s">
        <v>83</v>
      </c>
      <c r="B61" s="73" t="s">
        <v>124</v>
      </c>
      <c r="C61" s="91">
        <v>1200</v>
      </c>
      <c r="D61" s="91">
        <v>1200</v>
      </c>
      <c r="E61" s="91">
        <f t="shared" si="36"/>
        <v>0</v>
      </c>
      <c r="F61" s="91">
        <v>1200</v>
      </c>
      <c r="G61" s="91">
        <f t="shared" si="37"/>
        <v>0</v>
      </c>
      <c r="H61" s="42">
        <f t="shared" si="33"/>
        <v>100</v>
      </c>
    </row>
    <row r="62" spans="1:8" x14ac:dyDescent="0.25">
      <c r="A62" s="61" t="s">
        <v>94</v>
      </c>
      <c r="B62" s="62" t="s">
        <v>38</v>
      </c>
      <c r="C62" s="91">
        <f>C63</f>
        <v>0</v>
      </c>
      <c r="D62" s="91">
        <f t="shared" ref="D62:G62" si="38">D63</f>
        <v>0</v>
      </c>
      <c r="E62" s="91">
        <f t="shared" si="38"/>
        <v>0</v>
      </c>
      <c r="F62" s="91">
        <f t="shared" si="38"/>
        <v>2261.81</v>
      </c>
      <c r="G62" s="91">
        <f t="shared" si="38"/>
        <v>2261.81</v>
      </c>
      <c r="H62" s="42"/>
    </row>
    <row r="63" spans="1:8" x14ac:dyDescent="0.25">
      <c r="A63" s="63" t="s">
        <v>98</v>
      </c>
      <c r="B63" s="73" t="s">
        <v>123</v>
      </c>
      <c r="C63" s="91">
        <v>0</v>
      </c>
      <c r="D63" s="91">
        <v>0</v>
      </c>
      <c r="E63" s="91">
        <v>0</v>
      </c>
      <c r="F63" s="91">
        <v>2261.81</v>
      </c>
      <c r="G63" s="91">
        <f>F63-D63</f>
        <v>2261.81</v>
      </c>
      <c r="H63" s="42"/>
    </row>
    <row r="64" spans="1:8" x14ac:dyDescent="0.25">
      <c r="A64" s="70" t="s">
        <v>100</v>
      </c>
      <c r="B64" s="71" t="s">
        <v>84</v>
      </c>
      <c r="C64" s="90">
        <f t="shared" ref="C64:E65" si="39">C65</f>
        <v>0</v>
      </c>
      <c r="D64" s="90">
        <f t="shared" si="39"/>
        <v>0</v>
      </c>
      <c r="E64" s="90">
        <f t="shared" si="39"/>
        <v>0</v>
      </c>
      <c r="F64" s="90">
        <f t="shared" ref="F64:G64" si="40">F65</f>
        <v>0</v>
      </c>
      <c r="G64" s="90">
        <f t="shared" si="40"/>
        <v>0</v>
      </c>
      <c r="H64" s="90"/>
    </row>
    <row r="65" spans="1:8" s="58" customFormat="1" x14ac:dyDescent="0.25">
      <c r="A65" s="61" t="s">
        <v>70</v>
      </c>
      <c r="B65" s="62" t="s">
        <v>35</v>
      </c>
      <c r="C65" s="95">
        <f t="shared" si="39"/>
        <v>0</v>
      </c>
      <c r="D65" s="95">
        <f t="shared" si="39"/>
        <v>0</v>
      </c>
      <c r="E65" s="91">
        <f t="shared" si="39"/>
        <v>0</v>
      </c>
      <c r="F65" s="91">
        <f t="shared" ref="F65:G65" si="41">F66</f>
        <v>0</v>
      </c>
      <c r="G65" s="91">
        <f t="shared" si="41"/>
        <v>0</v>
      </c>
      <c r="H65" s="91"/>
    </row>
    <row r="66" spans="1:8" x14ac:dyDescent="0.25">
      <c r="A66" s="63" t="s">
        <v>71</v>
      </c>
      <c r="B66" s="62" t="s">
        <v>75</v>
      </c>
      <c r="C66" s="91">
        <v>0</v>
      </c>
      <c r="D66" s="91">
        <v>0</v>
      </c>
      <c r="E66" s="91">
        <f>D66-C66</f>
        <v>0</v>
      </c>
      <c r="F66" s="91">
        <v>0</v>
      </c>
      <c r="G66" s="91">
        <f>F66-D66</f>
        <v>0</v>
      </c>
      <c r="H66" s="91"/>
    </row>
    <row r="67" spans="1:8" x14ac:dyDescent="0.25">
      <c r="A67" s="70" t="s">
        <v>134</v>
      </c>
      <c r="B67" s="71" t="s">
        <v>84</v>
      </c>
      <c r="C67" s="90">
        <f t="shared" ref="C67:E68" si="42">C68</f>
        <v>72000</v>
      </c>
      <c r="D67" s="90">
        <f t="shared" si="42"/>
        <v>72000</v>
      </c>
      <c r="E67" s="90">
        <f t="shared" si="42"/>
        <v>0</v>
      </c>
      <c r="F67" s="90">
        <f t="shared" ref="F67:G68" si="43">F68</f>
        <v>22000</v>
      </c>
      <c r="G67" s="90">
        <f t="shared" si="43"/>
        <v>-50000</v>
      </c>
      <c r="H67" s="125">
        <f t="shared" ref="H67:H79" si="44">F67/D67*100</f>
        <v>30.555555555555557</v>
      </c>
    </row>
    <row r="68" spans="1:8" x14ac:dyDescent="0.25">
      <c r="A68" s="61" t="s">
        <v>70</v>
      </c>
      <c r="B68" s="62" t="s">
        <v>35</v>
      </c>
      <c r="C68" s="95">
        <f t="shared" si="42"/>
        <v>72000</v>
      </c>
      <c r="D68" s="95">
        <f t="shared" si="42"/>
        <v>72000</v>
      </c>
      <c r="E68" s="91">
        <f t="shared" si="42"/>
        <v>0</v>
      </c>
      <c r="F68" s="91">
        <f t="shared" si="43"/>
        <v>22000</v>
      </c>
      <c r="G68" s="91">
        <f t="shared" si="43"/>
        <v>-50000</v>
      </c>
      <c r="H68" s="42">
        <f t="shared" si="44"/>
        <v>30.555555555555557</v>
      </c>
    </row>
    <row r="69" spans="1:8" x14ac:dyDescent="0.25">
      <c r="A69" s="63" t="s">
        <v>71</v>
      </c>
      <c r="B69" s="62" t="s">
        <v>75</v>
      </c>
      <c r="C69" s="91">
        <v>72000</v>
      </c>
      <c r="D69" s="91">
        <v>72000</v>
      </c>
      <c r="E69" s="91">
        <f t="shared" ref="E69" si="45">D69-C69</f>
        <v>0</v>
      </c>
      <c r="F69" s="91">
        <v>22000</v>
      </c>
      <c r="G69" s="91">
        <f>F69-D69</f>
        <v>-50000</v>
      </c>
      <c r="H69" s="42">
        <f t="shared" si="44"/>
        <v>30.555555555555557</v>
      </c>
    </row>
    <row r="70" spans="1:8" ht="39" customHeight="1" x14ac:dyDescent="0.25">
      <c r="A70" s="74" t="s">
        <v>89</v>
      </c>
      <c r="B70" s="75" t="s">
        <v>90</v>
      </c>
      <c r="C70" s="88">
        <f>C71+C89+C102+C130</f>
        <v>55760.42</v>
      </c>
      <c r="D70" s="88">
        <f>D71+D89+D102+D130</f>
        <v>9489867.0199999996</v>
      </c>
      <c r="E70" s="88">
        <f>E71+E89+E102+E130</f>
        <v>9434106.5999999996</v>
      </c>
      <c r="F70" s="88">
        <f>F71+F89+F102+F130</f>
        <v>972886.04</v>
      </c>
      <c r="G70" s="88">
        <f>G71+G89+G102+G130</f>
        <v>-8516980.9799999986</v>
      </c>
      <c r="H70" s="123">
        <f t="shared" si="44"/>
        <v>10.251840599553523</v>
      </c>
    </row>
    <row r="71" spans="1:8" x14ac:dyDescent="0.25">
      <c r="A71" s="80" t="s">
        <v>101</v>
      </c>
      <c r="B71" s="80" t="s">
        <v>102</v>
      </c>
      <c r="C71" s="93">
        <f>C72+C85+C76+C80</f>
        <v>55760.42</v>
      </c>
      <c r="D71" s="93">
        <f>D72+D85+D76+D80</f>
        <v>63075.35</v>
      </c>
      <c r="E71" s="93">
        <f>E72+E85+E76+E80</f>
        <v>7314.929999999993</v>
      </c>
      <c r="F71" s="93">
        <f>F72+F85+F76+F80</f>
        <v>51697.83</v>
      </c>
      <c r="G71" s="93">
        <f>G72+G85+G76+G80</f>
        <v>-11377.519999999999</v>
      </c>
      <c r="H71" s="124">
        <f t="shared" si="44"/>
        <v>81.962018443020938</v>
      </c>
    </row>
    <row r="72" spans="1:8" x14ac:dyDescent="0.25">
      <c r="A72" s="70" t="s">
        <v>76</v>
      </c>
      <c r="B72" s="71" t="s">
        <v>69</v>
      </c>
      <c r="C72" s="90">
        <f>C73</f>
        <v>2246.42</v>
      </c>
      <c r="D72" s="90">
        <f>D73</f>
        <v>12615.07</v>
      </c>
      <c r="E72" s="90">
        <f>E73</f>
        <v>10368.649999999998</v>
      </c>
      <c r="F72" s="90">
        <f t="shared" ref="F72:G72" si="46">F73</f>
        <v>12615.07</v>
      </c>
      <c r="G72" s="90">
        <f t="shared" si="46"/>
        <v>0</v>
      </c>
      <c r="H72" s="125">
        <f t="shared" si="44"/>
        <v>100</v>
      </c>
    </row>
    <row r="73" spans="1:8" x14ac:dyDescent="0.25">
      <c r="A73" s="61" t="s">
        <v>70</v>
      </c>
      <c r="B73" s="62" t="s">
        <v>35</v>
      </c>
      <c r="C73" s="91">
        <f>C74+C75</f>
        <v>2246.42</v>
      </c>
      <c r="D73" s="91">
        <f>D74+D75</f>
        <v>12615.07</v>
      </c>
      <c r="E73" s="91">
        <f>E74+E75</f>
        <v>10368.649999999998</v>
      </c>
      <c r="F73" s="91">
        <f t="shared" ref="F73:G73" si="47">F74+F75</f>
        <v>12615.07</v>
      </c>
      <c r="G73" s="91">
        <f t="shared" si="47"/>
        <v>0</v>
      </c>
      <c r="H73" s="42">
        <f t="shared" si="44"/>
        <v>100</v>
      </c>
    </row>
    <row r="74" spans="1:8" x14ac:dyDescent="0.25">
      <c r="A74" s="63" t="s">
        <v>72</v>
      </c>
      <c r="B74" s="62" t="s">
        <v>68</v>
      </c>
      <c r="C74" s="91">
        <v>779.15</v>
      </c>
      <c r="D74" s="91">
        <f>3508.52+580</f>
        <v>4088.52</v>
      </c>
      <c r="E74" s="91">
        <f t="shared" ref="E74:E75" si="48">D74-C74</f>
        <v>3309.37</v>
      </c>
      <c r="F74" s="91">
        <f>5200+880</f>
        <v>6080</v>
      </c>
      <c r="G74" s="91">
        <f t="shared" ref="G74:G75" si="49">F74-D74</f>
        <v>1991.48</v>
      </c>
      <c r="H74" s="42">
        <f t="shared" si="44"/>
        <v>148.70906831812002</v>
      </c>
    </row>
    <row r="75" spans="1:8" x14ac:dyDescent="0.25">
      <c r="A75" s="63" t="s">
        <v>71</v>
      </c>
      <c r="B75" s="62" t="s">
        <v>75</v>
      </c>
      <c r="C75" s="91">
        <v>1467.27</v>
      </c>
      <c r="D75" s="91">
        <f>300+313.27+613.28+3100+4200</f>
        <v>8526.5499999999993</v>
      </c>
      <c r="E75" s="91">
        <f t="shared" si="48"/>
        <v>7059.2799999999988</v>
      </c>
      <c r="F75" s="91">
        <f>300+313.27+613.28+3100+2208.52</f>
        <v>6535.07</v>
      </c>
      <c r="G75" s="91">
        <f t="shared" si="49"/>
        <v>-1991.4799999999996</v>
      </c>
      <c r="H75" s="42">
        <f t="shared" si="44"/>
        <v>76.643777377720184</v>
      </c>
    </row>
    <row r="76" spans="1:8" x14ac:dyDescent="0.25">
      <c r="A76" s="70" t="s">
        <v>127</v>
      </c>
      <c r="B76" s="71" t="s">
        <v>128</v>
      </c>
      <c r="C76" s="90">
        <f>C77</f>
        <v>0</v>
      </c>
      <c r="D76" s="90">
        <f>D77</f>
        <v>50460.28</v>
      </c>
      <c r="E76" s="90">
        <f>E77</f>
        <v>50460.28</v>
      </c>
      <c r="F76" s="90">
        <f t="shared" ref="F76:G76" si="50">F77</f>
        <v>30183.11</v>
      </c>
      <c r="G76" s="90">
        <f t="shared" si="50"/>
        <v>-20277.169999999998</v>
      </c>
      <c r="H76" s="125">
        <f t="shared" si="44"/>
        <v>59.815581681274857</v>
      </c>
    </row>
    <row r="77" spans="1:8" x14ac:dyDescent="0.25">
      <c r="A77" s="61" t="s">
        <v>70</v>
      </c>
      <c r="B77" s="62" t="s">
        <v>35</v>
      </c>
      <c r="C77" s="91">
        <f>C78+C79</f>
        <v>0</v>
      </c>
      <c r="D77" s="91">
        <f>D78+D79</f>
        <v>50460.28</v>
      </c>
      <c r="E77" s="91">
        <f>E78+E79</f>
        <v>50460.28</v>
      </c>
      <c r="F77" s="91">
        <f t="shared" ref="F77:G77" si="51">F78+F79</f>
        <v>30183.11</v>
      </c>
      <c r="G77" s="91">
        <f t="shared" si="51"/>
        <v>-20277.169999999998</v>
      </c>
      <c r="H77" s="42">
        <f t="shared" si="44"/>
        <v>59.815581681274857</v>
      </c>
    </row>
    <row r="78" spans="1:8" x14ac:dyDescent="0.25">
      <c r="A78" s="63" t="s">
        <v>72</v>
      </c>
      <c r="B78" s="62" t="s">
        <v>68</v>
      </c>
      <c r="C78" s="91">
        <v>0</v>
      </c>
      <c r="D78" s="91">
        <f>14100+2254.06</f>
        <v>16354.06</v>
      </c>
      <c r="E78" s="91">
        <f>D78-C78</f>
        <v>16354.06</v>
      </c>
      <c r="F78" s="91">
        <f>19670+3260</f>
        <v>22930</v>
      </c>
      <c r="G78" s="91">
        <f t="shared" ref="G78:G79" si="52">F78-D78</f>
        <v>6575.9400000000005</v>
      </c>
      <c r="H78" s="42">
        <f t="shared" si="44"/>
        <v>140.20983168705507</v>
      </c>
    </row>
    <row r="79" spans="1:8" x14ac:dyDescent="0.25">
      <c r="A79" s="63" t="s">
        <v>71</v>
      </c>
      <c r="B79" s="62" t="s">
        <v>75</v>
      </c>
      <c r="C79" s="91">
        <v>0</v>
      </c>
      <c r="D79" s="91">
        <f>953.11+12400+2453.11+1500+16800</f>
        <v>34106.22</v>
      </c>
      <c r="E79" s="91">
        <f>D79-C79</f>
        <v>34106.22</v>
      </c>
      <c r="F79" s="91">
        <f>1500+953.11+4800</f>
        <v>7253.1100000000006</v>
      </c>
      <c r="G79" s="91">
        <f t="shared" si="52"/>
        <v>-26853.11</v>
      </c>
      <c r="H79" s="42">
        <f t="shared" si="44"/>
        <v>21.2662382404148</v>
      </c>
    </row>
    <row r="80" spans="1:8" x14ac:dyDescent="0.25">
      <c r="A80" s="70" t="s">
        <v>280</v>
      </c>
      <c r="B80" s="71" t="s">
        <v>141</v>
      </c>
      <c r="C80" s="90">
        <f>C81</f>
        <v>53514</v>
      </c>
      <c r="D80" s="90">
        <f>D81</f>
        <v>0</v>
      </c>
      <c r="E80" s="90">
        <f>E81</f>
        <v>-53514</v>
      </c>
      <c r="F80" s="90">
        <f t="shared" ref="F80:G80" si="53">F81</f>
        <v>8899.65</v>
      </c>
      <c r="G80" s="90">
        <f t="shared" si="53"/>
        <v>8899.65</v>
      </c>
      <c r="H80" s="125"/>
    </row>
    <row r="81" spans="1:8" x14ac:dyDescent="0.25">
      <c r="A81" s="61" t="s">
        <v>70</v>
      </c>
      <c r="B81" s="62" t="s">
        <v>35</v>
      </c>
      <c r="C81" s="91">
        <f>C82+C83+C84</f>
        <v>53514</v>
      </c>
      <c r="D81" s="91">
        <f>D82+D83+D84</f>
        <v>0</v>
      </c>
      <c r="E81" s="91">
        <f>E82+E83+E84</f>
        <v>-53514</v>
      </c>
      <c r="F81" s="91">
        <f>F82+F83+F84</f>
        <v>8899.65</v>
      </c>
      <c r="G81" s="91">
        <f>G82+G83+G84</f>
        <v>8899.65</v>
      </c>
      <c r="H81" s="42"/>
    </row>
    <row r="82" spans="1:8" x14ac:dyDescent="0.25">
      <c r="A82" s="63" t="s">
        <v>72</v>
      </c>
      <c r="B82" s="62" t="s">
        <v>68</v>
      </c>
      <c r="C82" s="91">
        <v>3116</v>
      </c>
      <c r="D82" s="91">
        <v>0</v>
      </c>
      <c r="E82" s="91">
        <f>D82-C82</f>
        <v>-3116</v>
      </c>
      <c r="F82" s="91">
        <v>0</v>
      </c>
      <c r="G82" s="91">
        <f t="shared" ref="G82:G84" si="54">F82-D82</f>
        <v>0</v>
      </c>
      <c r="H82" s="42"/>
    </row>
    <row r="83" spans="1:8" x14ac:dyDescent="0.25">
      <c r="A83" s="63" t="s">
        <v>71</v>
      </c>
      <c r="B83" s="62" t="s">
        <v>75</v>
      </c>
      <c r="C83" s="91">
        <v>50398</v>
      </c>
      <c r="D83" s="91">
        <v>0</v>
      </c>
      <c r="E83" s="91">
        <f>D83-C83</f>
        <v>-50398</v>
      </c>
      <c r="F83" s="91">
        <v>0</v>
      </c>
      <c r="G83" s="91">
        <f t="shared" si="54"/>
        <v>0</v>
      </c>
      <c r="H83" s="42"/>
    </row>
    <row r="84" spans="1:8" x14ac:dyDescent="0.25">
      <c r="A84" s="63" t="s">
        <v>142</v>
      </c>
      <c r="B84" s="73" t="s">
        <v>247</v>
      </c>
      <c r="C84" s="91">
        <v>0</v>
      </c>
      <c r="D84" s="91">
        <v>0</v>
      </c>
      <c r="E84" s="91">
        <f>D84-C84</f>
        <v>0</v>
      </c>
      <c r="F84" s="91">
        <v>8899.65</v>
      </c>
      <c r="G84" s="91">
        <f t="shared" si="54"/>
        <v>8899.65</v>
      </c>
      <c r="H84" s="91"/>
    </row>
    <row r="85" spans="1:8" x14ac:dyDescent="0.25">
      <c r="A85" s="70" t="s">
        <v>126</v>
      </c>
      <c r="B85" s="71" t="s">
        <v>103</v>
      </c>
      <c r="C85" s="90">
        <f t="shared" ref="C85:D85" si="55">C86</f>
        <v>0</v>
      </c>
      <c r="D85" s="90">
        <f t="shared" si="55"/>
        <v>0</v>
      </c>
      <c r="E85" s="90">
        <f>E86</f>
        <v>0</v>
      </c>
      <c r="F85" s="90">
        <f t="shared" ref="F85:G85" si="56">F86</f>
        <v>0</v>
      </c>
      <c r="G85" s="90">
        <f t="shared" si="56"/>
        <v>0</v>
      </c>
      <c r="H85" s="90"/>
    </row>
    <row r="86" spans="1:8" x14ac:dyDescent="0.25">
      <c r="A86" s="61" t="s">
        <v>70</v>
      </c>
      <c r="B86" s="62" t="s">
        <v>35</v>
      </c>
      <c r="C86" s="91">
        <f t="shared" ref="C86:D86" si="57">C87+C88</f>
        <v>0</v>
      </c>
      <c r="D86" s="91">
        <f t="shared" si="57"/>
        <v>0</v>
      </c>
      <c r="E86" s="91">
        <f>E87+E88</f>
        <v>0</v>
      </c>
      <c r="F86" s="91">
        <f t="shared" ref="F86:G86" si="58">F87+F88</f>
        <v>0</v>
      </c>
      <c r="G86" s="91">
        <f t="shared" si="58"/>
        <v>0</v>
      </c>
      <c r="H86" s="91"/>
    </row>
    <row r="87" spans="1:8" x14ac:dyDescent="0.25">
      <c r="A87" s="63" t="s">
        <v>72</v>
      </c>
      <c r="B87" s="62" t="s">
        <v>68</v>
      </c>
      <c r="C87" s="91">
        <v>0</v>
      </c>
      <c r="D87" s="91">
        <v>0</v>
      </c>
      <c r="E87" s="91">
        <f t="shared" ref="E87:E88" si="59">D87-C87</f>
        <v>0</v>
      </c>
      <c r="F87" s="91">
        <v>0</v>
      </c>
      <c r="G87" s="91">
        <f t="shared" ref="G87:G88" si="60">F87-D87</f>
        <v>0</v>
      </c>
      <c r="H87" s="91"/>
    </row>
    <row r="88" spans="1:8" x14ac:dyDescent="0.25">
      <c r="A88" s="63" t="s">
        <v>71</v>
      </c>
      <c r="B88" s="62" t="s">
        <v>75</v>
      </c>
      <c r="C88" s="91">
        <v>0</v>
      </c>
      <c r="D88" s="91">
        <v>0</v>
      </c>
      <c r="E88" s="91">
        <f t="shared" si="59"/>
        <v>0</v>
      </c>
      <c r="F88" s="91">
        <v>0</v>
      </c>
      <c r="G88" s="91">
        <f t="shared" si="60"/>
        <v>0</v>
      </c>
      <c r="H88" s="91"/>
    </row>
    <row r="89" spans="1:8" x14ac:dyDescent="0.25">
      <c r="A89" s="80" t="s">
        <v>107</v>
      </c>
      <c r="B89" s="80" t="s">
        <v>104</v>
      </c>
      <c r="C89" s="93">
        <f>C98</f>
        <v>0</v>
      </c>
      <c r="D89" s="93">
        <f>D98+D90</f>
        <v>52024.95</v>
      </c>
      <c r="E89" s="93">
        <f>E98+E90</f>
        <v>52024.95</v>
      </c>
      <c r="F89" s="93">
        <f>F98+F90+F95</f>
        <v>86660.98000000001</v>
      </c>
      <c r="G89" s="93">
        <f>G98+G90+G95</f>
        <v>34636.030000000013</v>
      </c>
      <c r="H89" s="124">
        <f>F89/D89*100</f>
        <v>166.57580641596007</v>
      </c>
    </row>
    <row r="90" spans="1:8" x14ac:dyDescent="0.25">
      <c r="A90" s="70" t="s">
        <v>129</v>
      </c>
      <c r="B90" s="71" t="s">
        <v>130</v>
      </c>
      <c r="C90" s="90">
        <f t="shared" ref="C90" si="61">C91</f>
        <v>0</v>
      </c>
      <c r="D90" s="90">
        <f t="shared" ref="D90" si="62">D91</f>
        <v>52024.95</v>
      </c>
      <c r="E90" s="90">
        <f>E91</f>
        <v>52024.95</v>
      </c>
      <c r="F90" s="90">
        <f t="shared" ref="F90" si="63">F91</f>
        <v>52400</v>
      </c>
      <c r="G90" s="90">
        <f>G91</f>
        <v>375.05000000001019</v>
      </c>
      <c r="H90" s="125">
        <f>F90/D90*100</f>
        <v>100.72090410466517</v>
      </c>
    </row>
    <row r="91" spans="1:8" x14ac:dyDescent="0.25">
      <c r="A91" s="61" t="s">
        <v>70</v>
      </c>
      <c r="B91" s="62" t="s">
        <v>35</v>
      </c>
      <c r="C91" s="91">
        <f>C92+C93+C94</f>
        <v>0</v>
      </c>
      <c r="D91" s="91">
        <f>D92+D93+D94</f>
        <v>52024.95</v>
      </c>
      <c r="E91" s="91">
        <f>E92+E93</f>
        <v>52024.95</v>
      </c>
      <c r="F91" s="91">
        <f>F92+F93+F94</f>
        <v>52400</v>
      </c>
      <c r="G91" s="91">
        <f>G92+G93+G94</f>
        <v>375.05000000001019</v>
      </c>
      <c r="H91" s="42">
        <f>F91/D91*100</f>
        <v>100.72090410466517</v>
      </c>
    </row>
    <row r="92" spans="1:8" x14ac:dyDescent="0.25">
      <c r="A92" s="63" t="s">
        <v>72</v>
      </c>
      <c r="B92" s="62" t="s">
        <v>68</v>
      </c>
      <c r="C92" s="91">
        <v>0</v>
      </c>
      <c r="D92" s="91">
        <v>45239.09</v>
      </c>
      <c r="E92" s="91">
        <f t="shared" ref="E92" si="64">D92-C92</f>
        <v>45239.09</v>
      </c>
      <c r="F92" s="91">
        <f>15600+2539.02</f>
        <v>18139.02</v>
      </c>
      <c r="G92" s="91">
        <f>F92-D92</f>
        <v>-27100.069999999996</v>
      </c>
      <c r="H92" s="42">
        <f>F92/D92*100</f>
        <v>40.095899364907659</v>
      </c>
    </row>
    <row r="93" spans="1:8" x14ac:dyDescent="0.25">
      <c r="A93" s="63" t="s">
        <v>71</v>
      </c>
      <c r="B93" s="62" t="s">
        <v>75</v>
      </c>
      <c r="C93" s="91">
        <v>0</v>
      </c>
      <c r="D93" s="91">
        <v>6785.86</v>
      </c>
      <c r="E93" s="91">
        <f t="shared" ref="E93:E94" si="65">D93-C93</f>
        <v>6785.86</v>
      </c>
      <c r="F93" s="91">
        <v>0</v>
      </c>
      <c r="G93" s="91">
        <f t="shared" ref="G93:G94" si="66">F93-D93</f>
        <v>-6785.86</v>
      </c>
      <c r="H93" s="42">
        <f>F93/D93*100</f>
        <v>0</v>
      </c>
    </row>
    <row r="94" spans="1:8" x14ac:dyDescent="0.25">
      <c r="A94" s="63" t="s">
        <v>142</v>
      </c>
      <c r="B94" s="73" t="s">
        <v>247</v>
      </c>
      <c r="C94" s="91">
        <v>0</v>
      </c>
      <c r="D94" s="91">
        <v>0</v>
      </c>
      <c r="E94" s="91">
        <f t="shared" si="65"/>
        <v>0</v>
      </c>
      <c r="F94" s="91">
        <v>34260.980000000003</v>
      </c>
      <c r="G94" s="91">
        <f t="shared" si="66"/>
        <v>34260.980000000003</v>
      </c>
      <c r="H94" s="42"/>
    </row>
    <row r="95" spans="1:8" x14ac:dyDescent="0.25">
      <c r="A95" s="70" t="s">
        <v>112</v>
      </c>
      <c r="B95" s="71" t="s">
        <v>113</v>
      </c>
      <c r="C95" s="90">
        <f t="shared" ref="C95:G96" si="67">C96</f>
        <v>0</v>
      </c>
      <c r="D95" s="90">
        <f t="shared" si="67"/>
        <v>0</v>
      </c>
      <c r="E95" s="90">
        <f t="shared" si="67"/>
        <v>0</v>
      </c>
      <c r="F95" s="90">
        <f t="shared" si="67"/>
        <v>34260.980000000003</v>
      </c>
      <c r="G95" s="90">
        <f t="shared" si="67"/>
        <v>34260.980000000003</v>
      </c>
      <c r="H95" s="125"/>
    </row>
    <row r="96" spans="1:8" x14ac:dyDescent="0.25">
      <c r="A96" s="61" t="s">
        <v>70</v>
      </c>
      <c r="B96" s="62" t="s">
        <v>35</v>
      </c>
      <c r="C96" s="91">
        <f t="shared" si="67"/>
        <v>0</v>
      </c>
      <c r="D96" s="91">
        <f t="shared" si="67"/>
        <v>0</v>
      </c>
      <c r="E96" s="91">
        <f t="shared" si="67"/>
        <v>0</v>
      </c>
      <c r="F96" s="91">
        <f t="shared" si="67"/>
        <v>34260.980000000003</v>
      </c>
      <c r="G96" s="91">
        <f t="shared" si="67"/>
        <v>34260.980000000003</v>
      </c>
      <c r="H96" s="42"/>
    </row>
    <row r="97" spans="1:8" x14ac:dyDescent="0.25">
      <c r="A97" s="63" t="s">
        <v>72</v>
      </c>
      <c r="B97" s="62" t="s">
        <v>68</v>
      </c>
      <c r="C97" s="91">
        <v>0</v>
      </c>
      <c r="D97" s="91">
        <v>0</v>
      </c>
      <c r="E97" s="91">
        <v>0</v>
      </c>
      <c r="F97" s="91">
        <v>34260.980000000003</v>
      </c>
      <c r="G97" s="91">
        <f>F97-D97</f>
        <v>34260.980000000003</v>
      </c>
      <c r="H97" s="42"/>
    </row>
    <row r="98" spans="1:8" x14ac:dyDescent="0.25">
      <c r="A98" s="70" t="s">
        <v>105</v>
      </c>
      <c r="B98" s="71" t="s">
        <v>106</v>
      </c>
      <c r="C98" s="90">
        <f t="shared" ref="C98:D98" si="68">C99</f>
        <v>0</v>
      </c>
      <c r="D98" s="90">
        <f t="shared" si="68"/>
        <v>0</v>
      </c>
      <c r="E98" s="90">
        <f>E99</f>
        <v>0</v>
      </c>
      <c r="F98" s="90">
        <f t="shared" ref="F98" si="69">F99</f>
        <v>0</v>
      </c>
      <c r="G98" s="90">
        <f t="shared" ref="G98" si="70">G99</f>
        <v>0</v>
      </c>
      <c r="H98" s="90"/>
    </row>
    <row r="99" spans="1:8" x14ac:dyDescent="0.25">
      <c r="A99" s="61" t="s">
        <v>70</v>
      </c>
      <c r="B99" s="62" t="s">
        <v>35</v>
      </c>
      <c r="C99" s="91">
        <f t="shared" ref="C99:D99" si="71">C100+C101</f>
        <v>0</v>
      </c>
      <c r="D99" s="91">
        <f t="shared" si="71"/>
        <v>0</v>
      </c>
      <c r="E99" s="91">
        <f>E100+E101</f>
        <v>0</v>
      </c>
      <c r="F99" s="91">
        <f t="shared" ref="F99" si="72">F100+F101</f>
        <v>0</v>
      </c>
      <c r="G99" s="91">
        <f t="shared" ref="G99" si="73">G100+G101</f>
        <v>0</v>
      </c>
      <c r="H99" s="91"/>
    </row>
    <row r="100" spans="1:8" x14ac:dyDescent="0.25">
      <c r="A100" s="63" t="s">
        <v>72</v>
      </c>
      <c r="B100" s="62" t="s">
        <v>68</v>
      </c>
      <c r="C100" s="91">
        <v>0</v>
      </c>
      <c r="D100" s="91">
        <v>0</v>
      </c>
      <c r="E100" s="91">
        <f t="shared" ref="E100" si="74">D100-C100</f>
        <v>0</v>
      </c>
      <c r="F100" s="91">
        <v>0</v>
      </c>
      <c r="G100" s="91">
        <f t="shared" ref="G100:G101" si="75">F100-D100</f>
        <v>0</v>
      </c>
      <c r="H100" s="91"/>
    </row>
    <row r="101" spans="1:8" x14ac:dyDescent="0.25">
      <c r="A101" s="63" t="s">
        <v>71</v>
      </c>
      <c r="B101" s="62" t="s">
        <v>75</v>
      </c>
      <c r="C101" s="91">
        <v>0</v>
      </c>
      <c r="D101" s="91">
        <v>0</v>
      </c>
      <c r="E101" s="91">
        <f t="shared" ref="E101" si="76">D101-C101</f>
        <v>0</v>
      </c>
      <c r="F101" s="91">
        <v>0</v>
      </c>
      <c r="G101" s="91">
        <f t="shared" si="75"/>
        <v>0</v>
      </c>
      <c r="H101" s="91"/>
    </row>
    <row r="102" spans="1:8" x14ac:dyDescent="0.25">
      <c r="A102" s="80" t="s">
        <v>108</v>
      </c>
      <c r="B102" s="80" t="s">
        <v>109</v>
      </c>
      <c r="C102" s="93">
        <f t="shared" ref="C102" si="77">C106+C121+C103+C109+C115+C127</f>
        <v>0</v>
      </c>
      <c r="D102" s="93">
        <f>D106+D121+D103+D109+D115+D127</f>
        <v>9374766.7199999988</v>
      </c>
      <c r="E102" s="93">
        <f>E106+E121+E103+E109+E115+E127</f>
        <v>9374766.7199999988</v>
      </c>
      <c r="F102" s="93">
        <f>F106+F121+F103+F109+F115+F127</f>
        <v>822493.23</v>
      </c>
      <c r="G102" s="93">
        <f>G106+G121+G103+G109+G115+G127</f>
        <v>-8552273.4899999984</v>
      </c>
      <c r="H102" s="124">
        <f>F102/D102*100</f>
        <v>8.7734794322434091</v>
      </c>
    </row>
    <row r="103" spans="1:8" x14ac:dyDescent="0.25">
      <c r="A103" s="70" t="s">
        <v>76</v>
      </c>
      <c r="B103" s="71" t="s">
        <v>69</v>
      </c>
      <c r="C103" s="90">
        <f t="shared" ref="C103" si="78">C104</f>
        <v>0</v>
      </c>
      <c r="D103" s="90">
        <f t="shared" ref="D103" si="79">D104</f>
        <v>773351.23</v>
      </c>
      <c r="E103" s="90">
        <f>E104</f>
        <v>773351.23</v>
      </c>
      <c r="F103" s="90">
        <f t="shared" ref="F103" si="80">F104</f>
        <v>0</v>
      </c>
      <c r="G103" s="90">
        <f t="shared" ref="G103" si="81">G104</f>
        <v>-773351.23</v>
      </c>
      <c r="H103" s="125">
        <f>F103/D103*100</f>
        <v>0</v>
      </c>
    </row>
    <row r="104" spans="1:8" x14ac:dyDescent="0.25">
      <c r="A104" s="61" t="s">
        <v>94</v>
      </c>
      <c r="B104" s="62" t="s">
        <v>38</v>
      </c>
      <c r="C104" s="91">
        <f t="shared" ref="C104" si="82">+C105</f>
        <v>0</v>
      </c>
      <c r="D104" s="91">
        <f t="shared" ref="D104" si="83">+D105</f>
        <v>773351.23</v>
      </c>
      <c r="E104" s="91">
        <f>+E105</f>
        <v>773351.23</v>
      </c>
      <c r="F104" s="91">
        <f>+F105</f>
        <v>0</v>
      </c>
      <c r="G104" s="91">
        <f>+G105</f>
        <v>-773351.23</v>
      </c>
      <c r="H104" s="42">
        <f>F104/D104*100</f>
        <v>0</v>
      </c>
    </row>
    <row r="105" spans="1:8" x14ac:dyDescent="0.25">
      <c r="A105" s="63" t="s">
        <v>98</v>
      </c>
      <c r="B105" s="62" t="s">
        <v>99</v>
      </c>
      <c r="C105" s="91">
        <v>0</v>
      </c>
      <c r="D105" s="91">
        <v>773351.23</v>
      </c>
      <c r="E105" s="91">
        <f t="shared" ref="E105" si="84">D105-C105</f>
        <v>773351.23</v>
      </c>
      <c r="F105" s="91">
        <v>0</v>
      </c>
      <c r="G105" s="91">
        <f>F105-D105</f>
        <v>-773351.23</v>
      </c>
      <c r="H105" s="42">
        <f>F105/D105*100</f>
        <v>0</v>
      </c>
    </row>
    <row r="106" spans="1:8" x14ac:dyDescent="0.25">
      <c r="A106" s="70" t="s">
        <v>110</v>
      </c>
      <c r="B106" s="71" t="s">
        <v>111</v>
      </c>
      <c r="C106" s="90">
        <f t="shared" ref="C106:D106" si="85">C107</f>
        <v>0</v>
      </c>
      <c r="D106" s="90">
        <f t="shared" si="85"/>
        <v>0</v>
      </c>
      <c r="E106" s="90">
        <f>E107</f>
        <v>0</v>
      </c>
      <c r="F106" s="90">
        <f t="shared" ref="F106" si="86">F107</f>
        <v>0</v>
      </c>
      <c r="G106" s="90">
        <f t="shared" ref="G106" si="87">G107</f>
        <v>0</v>
      </c>
      <c r="H106" s="125"/>
    </row>
    <row r="107" spans="1:8" x14ac:dyDescent="0.25">
      <c r="A107" s="61" t="s">
        <v>94</v>
      </c>
      <c r="B107" s="62" t="s">
        <v>38</v>
      </c>
      <c r="C107" s="91">
        <f t="shared" ref="C107:D107" si="88">+C108</f>
        <v>0</v>
      </c>
      <c r="D107" s="91">
        <f t="shared" si="88"/>
        <v>0</v>
      </c>
      <c r="E107" s="91">
        <f>+E108</f>
        <v>0</v>
      </c>
      <c r="F107" s="91">
        <f>+F108</f>
        <v>0</v>
      </c>
      <c r="G107" s="91">
        <f>+G108</f>
        <v>0</v>
      </c>
      <c r="H107" s="42"/>
    </row>
    <row r="108" spans="1:8" x14ac:dyDescent="0.25">
      <c r="A108" s="63" t="s">
        <v>98</v>
      </c>
      <c r="B108" s="62" t="s">
        <v>99</v>
      </c>
      <c r="C108" s="91">
        <v>0</v>
      </c>
      <c r="D108" s="91">
        <v>0</v>
      </c>
      <c r="E108" s="91">
        <f t="shared" ref="E108" si="89">D108-C108</f>
        <v>0</v>
      </c>
      <c r="F108" s="91">
        <v>0</v>
      </c>
      <c r="G108" s="91">
        <f>F108-D108</f>
        <v>0</v>
      </c>
      <c r="H108" s="42"/>
    </row>
    <row r="109" spans="1:8" x14ac:dyDescent="0.25">
      <c r="A109" s="70" t="s">
        <v>129</v>
      </c>
      <c r="B109" s="71" t="s">
        <v>130</v>
      </c>
      <c r="C109" s="90">
        <f t="shared" ref="C109" si="90">C110+C113</f>
        <v>0</v>
      </c>
      <c r="D109" s="90">
        <f t="shared" ref="D109" si="91">D110+D113</f>
        <v>168726.55</v>
      </c>
      <c r="E109" s="90">
        <f>E110+E113</f>
        <v>168726.55</v>
      </c>
      <c r="F109" s="90">
        <f>F110+F113</f>
        <v>49142</v>
      </c>
      <c r="G109" s="90">
        <f>G110+G113</f>
        <v>-119584.55</v>
      </c>
      <c r="H109" s="125">
        <f>F109/D109*100</f>
        <v>29.125232513792287</v>
      </c>
    </row>
    <row r="110" spans="1:8" x14ac:dyDescent="0.25">
      <c r="A110" s="61" t="s">
        <v>70</v>
      </c>
      <c r="B110" s="62" t="s">
        <v>35</v>
      </c>
      <c r="C110" s="91">
        <f t="shared" ref="C110" si="92">C111+C112</f>
        <v>0</v>
      </c>
      <c r="D110" s="91">
        <f t="shared" ref="D110" si="93">D111+D112</f>
        <v>30602.05</v>
      </c>
      <c r="E110" s="91">
        <f>E111+E112</f>
        <v>30602.05</v>
      </c>
      <c r="F110" s="91">
        <f t="shared" ref="F110" si="94">F111+F112</f>
        <v>19142</v>
      </c>
      <c r="G110" s="91">
        <f t="shared" ref="G110" si="95">G111+G112</f>
        <v>-11460.05</v>
      </c>
      <c r="H110" s="42">
        <f>F110/D110*100</f>
        <v>62.551365022931471</v>
      </c>
    </row>
    <row r="111" spans="1:8" x14ac:dyDescent="0.25">
      <c r="A111" s="63" t="s">
        <v>72</v>
      </c>
      <c r="B111" s="62" t="s">
        <v>68</v>
      </c>
      <c r="C111" s="91">
        <v>0</v>
      </c>
      <c r="D111" s="91">
        <f>22910+3700.48</f>
        <v>26610.48</v>
      </c>
      <c r="E111" s="91">
        <f t="shared" ref="E111:E112" si="96">D111-C111</f>
        <v>26610.48</v>
      </c>
      <c r="F111" s="91">
        <f>13000+2150</f>
        <v>15150</v>
      </c>
      <c r="G111" s="91">
        <f t="shared" ref="G111:G112" si="97">F111-D111</f>
        <v>-11460.48</v>
      </c>
      <c r="H111" s="42">
        <f>F111/D111*100</f>
        <v>56.932456686237906</v>
      </c>
    </row>
    <row r="112" spans="1:8" x14ac:dyDescent="0.25">
      <c r="A112" s="63" t="s">
        <v>71</v>
      </c>
      <c r="B112" s="62" t="s">
        <v>75</v>
      </c>
      <c r="C112" s="91">
        <v>0</v>
      </c>
      <c r="D112" s="91">
        <f>491.57+3500</f>
        <v>3991.57</v>
      </c>
      <c r="E112" s="91">
        <f t="shared" si="96"/>
        <v>3991.57</v>
      </c>
      <c r="F112" s="91">
        <f>492+1300+2200</f>
        <v>3992</v>
      </c>
      <c r="G112" s="91">
        <f t="shared" si="97"/>
        <v>0.42999999999983629</v>
      </c>
      <c r="H112" s="42">
        <f>F112/D112*100</f>
        <v>100.01077270347255</v>
      </c>
    </row>
    <row r="113" spans="1:8" x14ac:dyDescent="0.25">
      <c r="A113" s="61" t="s">
        <v>94</v>
      </c>
      <c r="B113" s="62" t="s">
        <v>38</v>
      </c>
      <c r="C113" s="91">
        <f t="shared" ref="C113" si="98">C114</f>
        <v>0</v>
      </c>
      <c r="D113" s="91">
        <f t="shared" ref="D113" si="99">D114</f>
        <v>138124.5</v>
      </c>
      <c r="E113" s="91">
        <f>E114</f>
        <v>138124.5</v>
      </c>
      <c r="F113" s="91">
        <f t="shared" ref="F113" si="100">F114</f>
        <v>30000</v>
      </c>
      <c r="G113" s="91">
        <f t="shared" ref="G113" si="101">G114</f>
        <v>-108124.5</v>
      </c>
      <c r="H113" s="42">
        <f t="shared" ref="H113:H114" si="102">F113/D113*100</f>
        <v>21.719535636328093</v>
      </c>
    </row>
    <row r="114" spans="1:8" x14ac:dyDescent="0.25">
      <c r="A114" s="63" t="s">
        <v>98</v>
      </c>
      <c r="B114" s="73" t="s">
        <v>123</v>
      </c>
      <c r="C114" s="91">
        <v>0</v>
      </c>
      <c r="D114" s="91">
        <f>138124.5</f>
        <v>138124.5</v>
      </c>
      <c r="E114" s="91">
        <f t="shared" ref="E114" si="103">D114-C114</f>
        <v>138124.5</v>
      </c>
      <c r="F114" s="91">
        <v>30000</v>
      </c>
      <c r="G114" s="91">
        <f>F114-D114</f>
        <v>-108124.5</v>
      </c>
      <c r="H114" s="42">
        <f t="shared" si="102"/>
        <v>21.719535636328093</v>
      </c>
    </row>
    <row r="115" spans="1:8" x14ac:dyDescent="0.25">
      <c r="A115" s="70" t="s">
        <v>112</v>
      </c>
      <c r="B115" s="71" t="s">
        <v>113</v>
      </c>
      <c r="C115" s="90">
        <f t="shared" ref="C115" si="104">C116+C119</f>
        <v>0</v>
      </c>
      <c r="D115" s="90">
        <f t="shared" ref="D115" si="105">D116+D119</f>
        <v>8432688.9399999995</v>
      </c>
      <c r="E115" s="90">
        <f>E116+E119</f>
        <v>8432688.9399999995</v>
      </c>
      <c r="F115" s="90">
        <f t="shared" ref="F115" si="106">F116</f>
        <v>0</v>
      </c>
      <c r="G115" s="90">
        <f>G116+G119</f>
        <v>-8432688.9399999995</v>
      </c>
      <c r="H115" s="125">
        <f>F115/D115*100</f>
        <v>0</v>
      </c>
    </row>
    <row r="116" spans="1:8" x14ac:dyDescent="0.25">
      <c r="A116" s="61" t="s">
        <v>70</v>
      </c>
      <c r="B116" s="62" t="s">
        <v>35</v>
      </c>
      <c r="C116" s="91">
        <f t="shared" ref="C116" si="107">C117+C118</f>
        <v>0</v>
      </c>
      <c r="D116" s="91">
        <f t="shared" ref="D116" si="108">D117+D118</f>
        <v>153010.25</v>
      </c>
      <c r="E116" s="91">
        <f>E117+E118</f>
        <v>153010.25</v>
      </c>
      <c r="F116" s="91">
        <f t="shared" ref="F116" si="109">F117+F118</f>
        <v>0</v>
      </c>
      <c r="G116" s="91">
        <f t="shared" ref="G116" si="110">G117+G118</f>
        <v>-153010.25</v>
      </c>
      <c r="H116" s="42">
        <f>F116/D116*100</f>
        <v>0</v>
      </c>
    </row>
    <row r="117" spans="1:8" x14ac:dyDescent="0.25">
      <c r="A117" s="63" t="s">
        <v>72</v>
      </c>
      <c r="B117" s="62" t="s">
        <v>68</v>
      </c>
      <c r="C117" s="91">
        <v>0</v>
      </c>
      <c r="D117" s="91">
        <f>114550+18502.4</f>
        <v>133052.4</v>
      </c>
      <c r="E117" s="91">
        <f t="shared" ref="E117:E118" si="111">D117-C117</f>
        <v>133052.4</v>
      </c>
      <c r="F117" s="91">
        <v>0</v>
      </c>
      <c r="G117" s="91">
        <f t="shared" ref="G117:G118" si="112">F117-D117</f>
        <v>-133052.4</v>
      </c>
      <c r="H117" s="42">
        <f>F117/D117*100</f>
        <v>0</v>
      </c>
    </row>
    <row r="118" spans="1:8" x14ac:dyDescent="0.25">
      <c r="A118" s="63" t="s">
        <v>71</v>
      </c>
      <c r="B118" s="62" t="s">
        <v>75</v>
      </c>
      <c r="C118" s="91">
        <v>0</v>
      </c>
      <c r="D118" s="91">
        <f>6491.57+4500+8966.28</f>
        <v>19957.849999999999</v>
      </c>
      <c r="E118" s="91">
        <f t="shared" si="111"/>
        <v>19957.849999999999</v>
      </c>
      <c r="F118" s="91">
        <v>0</v>
      </c>
      <c r="G118" s="91">
        <f t="shared" si="112"/>
        <v>-19957.849999999999</v>
      </c>
      <c r="H118" s="42">
        <f t="shared" ref="H118:H120" si="113">F118/D118*100</f>
        <v>0</v>
      </c>
    </row>
    <row r="119" spans="1:8" x14ac:dyDescent="0.25">
      <c r="A119" s="61" t="s">
        <v>94</v>
      </c>
      <c r="B119" s="62" t="s">
        <v>38</v>
      </c>
      <c r="C119" s="91">
        <f t="shared" ref="C119" si="114">C120</f>
        <v>0</v>
      </c>
      <c r="D119" s="91">
        <f t="shared" ref="D119" si="115">D120</f>
        <v>8279678.6899999995</v>
      </c>
      <c r="E119" s="91">
        <f>E120</f>
        <v>8279678.6899999995</v>
      </c>
      <c r="F119" s="91">
        <f t="shared" ref="F119" si="116">F120</f>
        <v>0</v>
      </c>
      <c r="G119" s="91">
        <f t="shared" ref="G119" si="117">G120</f>
        <v>-8279678.6899999995</v>
      </c>
      <c r="H119" s="42">
        <f t="shared" si="113"/>
        <v>0</v>
      </c>
    </row>
    <row r="120" spans="1:8" x14ac:dyDescent="0.25">
      <c r="A120" s="63" t="s">
        <v>98</v>
      </c>
      <c r="B120" s="73" t="s">
        <v>123</v>
      </c>
      <c r="C120" s="91">
        <v>0</v>
      </c>
      <c r="D120" s="91">
        <f>4055678.69+50000+4174000</f>
        <v>8279678.6899999995</v>
      </c>
      <c r="E120" s="91">
        <f t="shared" ref="E120" si="118">D120-C120</f>
        <v>8279678.6899999995</v>
      </c>
      <c r="F120" s="91">
        <v>0</v>
      </c>
      <c r="G120" s="91">
        <f>F120-D120</f>
        <v>-8279678.6899999995</v>
      </c>
      <c r="H120" s="42">
        <f t="shared" si="113"/>
        <v>0</v>
      </c>
    </row>
    <row r="121" spans="1:8" x14ac:dyDescent="0.25">
      <c r="A121" s="70" t="s">
        <v>105</v>
      </c>
      <c r="B121" s="71" t="s">
        <v>106</v>
      </c>
      <c r="C121" s="90">
        <f t="shared" ref="C121:D121" si="119">C122+C125</f>
        <v>0</v>
      </c>
      <c r="D121" s="90">
        <f t="shared" si="119"/>
        <v>0</v>
      </c>
      <c r="E121" s="90">
        <f>E122+E125</f>
        <v>0</v>
      </c>
      <c r="F121" s="90">
        <f t="shared" ref="F121" si="120">F122</f>
        <v>0</v>
      </c>
      <c r="G121" s="90">
        <f t="shared" ref="G121:H121" si="121">G122</f>
        <v>0</v>
      </c>
      <c r="H121" s="90">
        <f t="shared" si="121"/>
        <v>0</v>
      </c>
    </row>
    <row r="122" spans="1:8" x14ac:dyDescent="0.25">
      <c r="A122" s="61" t="s">
        <v>70</v>
      </c>
      <c r="B122" s="62" t="s">
        <v>35</v>
      </c>
      <c r="C122" s="91">
        <f t="shared" ref="C122:D122" si="122">C123+C124</f>
        <v>0</v>
      </c>
      <c r="D122" s="91">
        <f t="shared" si="122"/>
        <v>0</v>
      </c>
      <c r="E122" s="91">
        <f>E123+E124</f>
        <v>0</v>
      </c>
      <c r="F122" s="91">
        <f t="shared" ref="F122" si="123">F123+F124</f>
        <v>0</v>
      </c>
      <c r="G122" s="91">
        <f t="shared" ref="G122:H122" si="124">G123+G124</f>
        <v>0</v>
      </c>
      <c r="H122" s="91">
        <f t="shared" si="124"/>
        <v>0</v>
      </c>
    </row>
    <row r="123" spans="1:8" x14ac:dyDescent="0.25">
      <c r="A123" s="63" t="s">
        <v>72</v>
      </c>
      <c r="B123" s="62" t="s">
        <v>68</v>
      </c>
      <c r="C123" s="91">
        <v>0</v>
      </c>
      <c r="D123" s="91">
        <v>0</v>
      </c>
      <c r="E123" s="91">
        <f t="shared" ref="E123" si="125">D123-C123</f>
        <v>0</v>
      </c>
      <c r="F123" s="91">
        <v>0</v>
      </c>
      <c r="G123" s="91">
        <f t="shared" ref="G123:H124" si="126">F123-D123</f>
        <v>0</v>
      </c>
      <c r="H123" s="91">
        <f t="shared" si="126"/>
        <v>0</v>
      </c>
    </row>
    <row r="124" spans="1:8" x14ac:dyDescent="0.25">
      <c r="A124" s="63" t="s">
        <v>71</v>
      </c>
      <c r="B124" s="62" t="s">
        <v>75</v>
      </c>
      <c r="C124" s="91">
        <v>0</v>
      </c>
      <c r="D124" s="91">
        <v>0</v>
      </c>
      <c r="E124" s="91">
        <f t="shared" ref="E124" si="127">D124-C124</f>
        <v>0</v>
      </c>
      <c r="F124" s="91">
        <v>0</v>
      </c>
      <c r="G124" s="91">
        <f t="shared" si="126"/>
        <v>0</v>
      </c>
      <c r="H124" s="91">
        <f t="shared" si="126"/>
        <v>0</v>
      </c>
    </row>
    <row r="125" spans="1:8" x14ac:dyDescent="0.25">
      <c r="A125" s="61" t="s">
        <v>94</v>
      </c>
      <c r="B125" s="62" t="s">
        <v>38</v>
      </c>
      <c r="C125" s="91">
        <f t="shared" ref="C125:D125" si="128">C126</f>
        <v>0</v>
      </c>
      <c r="D125" s="91">
        <f t="shared" si="128"/>
        <v>0</v>
      </c>
      <c r="E125" s="91">
        <f>E126</f>
        <v>0</v>
      </c>
      <c r="F125" s="91">
        <f t="shared" ref="F125:H125" si="129">F126</f>
        <v>0</v>
      </c>
      <c r="G125" s="91">
        <f t="shared" si="129"/>
        <v>0</v>
      </c>
      <c r="H125" s="91">
        <f t="shared" si="129"/>
        <v>0</v>
      </c>
    </row>
    <row r="126" spans="1:8" x14ac:dyDescent="0.25">
      <c r="A126" s="63" t="s">
        <v>98</v>
      </c>
      <c r="B126" s="73" t="s">
        <v>123</v>
      </c>
      <c r="C126" s="91">
        <v>0</v>
      </c>
      <c r="D126" s="91">
        <v>0</v>
      </c>
      <c r="E126" s="91">
        <f t="shared" ref="E126" si="130">D126-C126</f>
        <v>0</v>
      </c>
      <c r="F126" s="91">
        <v>0</v>
      </c>
      <c r="G126" s="91">
        <f>F126-D126</f>
        <v>0</v>
      </c>
      <c r="H126" s="91">
        <f>G126-E126</f>
        <v>0</v>
      </c>
    </row>
    <row r="127" spans="1:8" x14ac:dyDescent="0.25">
      <c r="A127" s="70" t="s">
        <v>281</v>
      </c>
      <c r="B127" s="73" t="s">
        <v>282</v>
      </c>
      <c r="C127" s="90">
        <f t="shared" ref="C127:G128" si="131">C128</f>
        <v>0</v>
      </c>
      <c r="D127" s="90">
        <f t="shared" si="131"/>
        <v>0</v>
      </c>
      <c r="E127" s="90">
        <f t="shared" si="131"/>
        <v>0</v>
      </c>
      <c r="F127" s="90">
        <f t="shared" si="131"/>
        <v>773351.23</v>
      </c>
      <c r="G127" s="90">
        <f t="shared" si="131"/>
        <v>773351.23</v>
      </c>
      <c r="H127" s="125"/>
    </row>
    <row r="128" spans="1:8" x14ac:dyDescent="0.25">
      <c r="A128" s="61" t="s">
        <v>94</v>
      </c>
      <c r="B128" s="62" t="s">
        <v>38</v>
      </c>
      <c r="C128" s="91">
        <f t="shared" si="131"/>
        <v>0</v>
      </c>
      <c r="D128" s="91">
        <f t="shared" si="131"/>
        <v>0</v>
      </c>
      <c r="E128" s="91">
        <f t="shared" si="131"/>
        <v>0</v>
      </c>
      <c r="F128" s="91">
        <f t="shared" si="131"/>
        <v>773351.23</v>
      </c>
      <c r="G128" s="91">
        <f t="shared" si="131"/>
        <v>773351.23</v>
      </c>
      <c r="H128" s="42"/>
    </row>
    <row r="129" spans="1:8" x14ac:dyDescent="0.25">
      <c r="A129" s="63" t="s">
        <v>98</v>
      </c>
      <c r="B129" s="73" t="s">
        <v>123</v>
      </c>
      <c r="C129" s="91">
        <v>0</v>
      </c>
      <c r="D129" s="91">
        <v>0</v>
      </c>
      <c r="E129" s="91">
        <f>D129-C129</f>
        <v>0</v>
      </c>
      <c r="F129" s="91">
        <v>773351.23</v>
      </c>
      <c r="G129" s="91">
        <f>F129-D129</f>
        <v>773351.23</v>
      </c>
      <c r="H129" s="42"/>
    </row>
    <row r="130" spans="1:8" x14ac:dyDescent="0.25">
      <c r="A130" s="80" t="s">
        <v>114</v>
      </c>
      <c r="B130" s="80" t="s">
        <v>115</v>
      </c>
      <c r="C130" s="93">
        <f t="shared" ref="C130:D132" si="132">C131</f>
        <v>0</v>
      </c>
      <c r="D130" s="93">
        <f t="shared" si="132"/>
        <v>0</v>
      </c>
      <c r="E130" s="93">
        <f>E131</f>
        <v>0</v>
      </c>
      <c r="F130" s="93">
        <f>F131</f>
        <v>12034</v>
      </c>
      <c r="G130" s="93">
        <f>G131</f>
        <v>12034</v>
      </c>
      <c r="H130" s="124">
        <v>0</v>
      </c>
    </row>
    <row r="131" spans="1:8" x14ac:dyDescent="0.25">
      <c r="A131" s="70" t="s">
        <v>116</v>
      </c>
      <c r="B131" s="71" t="s">
        <v>117</v>
      </c>
      <c r="C131" s="90">
        <f t="shared" si="132"/>
        <v>0</v>
      </c>
      <c r="D131" s="90">
        <f t="shared" si="132"/>
        <v>0</v>
      </c>
      <c r="E131" s="90">
        <f>E132</f>
        <v>0</v>
      </c>
      <c r="F131" s="90">
        <f t="shared" ref="F131:G132" si="133">F132</f>
        <v>12034</v>
      </c>
      <c r="G131" s="90">
        <f t="shared" si="133"/>
        <v>12034</v>
      </c>
      <c r="H131" s="90"/>
    </row>
    <row r="132" spans="1:8" x14ac:dyDescent="0.25">
      <c r="A132" s="61" t="s">
        <v>70</v>
      </c>
      <c r="B132" s="62" t="s">
        <v>35</v>
      </c>
      <c r="C132" s="91">
        <f t="shared" si="132"/>
        <v>0</v>
      </c>
      <c r="D132" s="91">
        <f t="shared" si="132"/>
        <v>0</v>
      </c>
      <c r="E132" s="91">
        <f>E133</f>
        <v>0</v>
      </c>
      <c r="F132" s="91">
        <f t="shared" si="133"/>
        <v>12034</v>
      </c>
      <c r="G132" s="91">
        <f t="shared" si="133"/>
        <v>12034</v>
      </c>
      <c r="H132" s="91"/>
    </row>
    <row r="133" spans="1:8" x14ac:dyDescent="0.25">
      <c r="A133" s="63" t="s">
        <v>72</v>
      </c>
      <c r="B133" s="62" t="s">
        <v>68</v>
      </c>
      <c r="C133" s="91">
        <v>0</v>
      </c>
      <c r="D133" s="91">
        <v>0</v>
      </c>
      <c r="E133" s="91">
        <f t="shared" ref="E133" si="134">D133-C133</f>
        <v>0</v>
      </c>
      <c r="F133" s="91">
        <v>12034</v>
      </c>
      <c r="G133" s="91">
        <f>F133-D133</f>
        <v>12034</v>
      </c>
      <c r="H133" s="91"/>
    </row>
    <row r="134" spans="1:8" ht="26.25" customHeight="1" x14ac:dyDescent="0.25">
      <c r="A134" s="74" t="s">
        <v>91</v>
      </c>
      <c r="B134" s="75" t="s">
        <v>92</v>
      </c>
      <c r="C134" s="88">
        <f t="shared" ref="C134:D137" si="135">C135</f>
        <v>0</v>
      </c>
      <c r="D134" s="88">
        <f t="shared" si="135"/>
        <v>0</v>
      </c>
      <c r="E134" s="88">
        <f>E135</f>
        <v>0</v>
      </c>
      <c r="F134" s="88">
        <f t="shared" ref="F134:G137" si="136">F135</f>
        <v>15896</v>
      </c>
      <c r="G134" s="88">
        <f t="shared" si="136"/>
        <v>15896</v>
      </c>
      <c r="H134" s="123">
        <v>0</v>
      </c>
    </row>
    <row r="135" spans="1:8" x14ac:dyDescent="0.25">
      <c r="A135" s="80" t="s">
        <v>118</v>
      </c>
      <c r="B135" s="80" t="s">
        <v>119</v>
      </c>
      <c r="C135" s="93">
        <f t="shared" si="135"/>
        <v>0</v>
      </c>
      <c r="D135" s="93">
        <f t="shared" si="135"/>
        <v>0</v>
      </c>
      <c r="E135" s="93">
        <f>E136</f>
        <v>0</v>
      </c>
      <c r="F135" s="93">
        <f t="shared" si="136"/>
        <v>15896</v>
      </c>
      <c r="G135" s="93">
        <f t="shared" si="136"/>
        <v>15896</v>
      </c>
      <c r="H135" s="124">
        <v>0</v>
      </c>
    </row>
    <row r="136" spans="1:8" x14ac:dyDescent="0.25">
      <c r="A136" s="70" t="s">
        <v>120</v>
      </c>
      <c r="B136" s="62" t="s">
        <v>121</v>
      </c>
      <c r="C136" s="90">
        <f t="shared" si="135"/>
        <v>0</v>
      </c>
      <c r="D136" s="90">
        <f t="shared" si="135"/>
        <v>0</v>
      </c>
      <c r="E136" s="90">
        <f>E137</f>
        <v>0</v>
      </c>
      <c r="F136" s="90">
        <f t="shared" si="136"/>
        <v>15896</v>
      </c>
      <c r="G136" s="90">
        <f t="shared" si="136"/>
        <v>15896</v>
      </c>
      <c r="H136" s="90"/>
    </row>
    <row r="137" spans="1:8" x14ac:dyDescent="0.25">
      <c r="A137" s="61" t="s">
        <v>70</v>
      </c>
      <c r="B137" s="62" t="s">
        <v>35</v>
      </c>
      <c r="C137" s="91">
        <f t="shared" si="135"/>
        <v>0</v>
      </c>
      <c r="D137" s="91">
        <f t="shared" si="135"/>
        <v>0</v>
      </c>
      <c r="E137" s="91">
        <f>E138</f>
        <v>0</v>
      </c>
      <c r="F137" s="91">
        <f t="shared" si="136"/>
        <v>15896</v>
      </c>
      <c r="G137" s="91">
        <f t="shared" si="136"/>
        <v>15896</v>
      </c>
      <c r="H137" s="91"/>
    </row>
    <row r="138" spans="1:8" x14ac:dyDescent="0.25">
      <c r="A138" s="63" t="s">
        <v>72</v>
      </c>
      <c r="B138" s="62" t="s">
        <v>68</v>
      </c>
      <c r="C138" s="91">
        <v>0</v>
      </c>
      <c r="D138" s="91">
        <v>0</v>
      </c>
      <c r="E138" s="91">
        <f t="shared" ref="E138" si="137">D138-C138</f>
        <v>0</v>
      </c>
      <c r="F138" s="91">
        <v>15896</v>
      </c>
      <c r="G138" s="91">
        <f>F138-D138</f>
        <v>15896</v>
      </c>
      <c r="H138" s="91"/>
    </row>
  </sheetData>
  <mergeCells count="1">
    <mergeCell ref="A2:G2"/>
  </mergeCells>
  <pageMargins left="0.7" right="0.7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topLeftCell="A4" workbookViewId="0">
      <selection activeCell="C18" sqref="C18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56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63" t="s">
        <v>45</v>
      </c>
      <c r="B2" s="163"/>
      <c r="C2" s="163"/>
      <c r="D2" s="163"/>
      <c r="E2" s="163"/>
      <c r="F2" s="163"/>
      <c r="G2" s="163"/>
      <c r="H2" s="53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63" t="s">
        <v>46</v>
      </c>
      <c r="B4" s="163"/>
      <c r="C4" s="163"/>
      <c r="D4" s="163"/>
      <c r="E4" s="163"/>
      <c r="F4" s="163"/>
      <c r="G4" s="163"/>
      <c r="H4" s="53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41</v>
      </c>
      <c r="B6" s="37" t="s">
        <v>22</v>
      </c>
      <c r="C6" s="38" t="s">
        <v>13</v>
      </c>
      <c r="D6" s="38" t="s">
        <v>23</v>
      </c>
      <c r="E6" s="36" t="s">
        <v>24</v>
      </c>
      <c r="F6" s="36" t="s">
        <v>25</v>
      </c>
      <c r="G6" s="36" t="s">
        <v>26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>
        <v>8</v>
      </c>
      <c r="B8" s="41" t="s">
        <v>47</v>
      </c>
      <c r="C8" s="41"/>
      <c r="D8" s="41"/>
      <c r="E8" s="42"/>
      <c r="F8" s="42"/>
      <c r="G8" s="42"/>
    </row>
    <row r="9" spans="1:10" x14ac:dyDescent="0.25">
      <c r="A9" s="51">
        <v>84</v>
      </c>
      <c r="B9" s="43" t="s">
        <v>48</v>
      </c>
      <c r="C9" s="41"/>
      <c r="D9" s="41"/>
      <c r="E9" s="42"/>
      <c r="F9" s="42"/>
      <c r="G9" s="42"/>
    </row>
    <row r="10" spans="1:10" x14ac:dyDescent="0.25">
      <c r="A10" s="51" t="s">
        <v>33</v>
      </c>
      <c r="B10" s="46"/>
      <c r="C10" s="43"/>
      <c r="D10" s="43"/>
      <c r="E10" s="42"/>
      <c r="F10" s="42"/>
      <c r="G10" s="42"/>
    </row>
    <row r="11" spans="1:10" x14ac:dyDescent="0.25">
      <c r="A11" s="41">
        <v>5</v>
      </c>
      <c r="B11" s="47" t="s">
        <v>49</v>
      </c>
      <c r="C11" s="43"/>
      <c r="D11" s="43"/>
      <c r="E11" s="42"/>
      <c r="F11" s="42"/>
      <c r="G11" s="42"/>
    </row>
    <row r="12" spans="1:10" x14ac:dyDescent="0.25">
      <c r="A12" s="51">
        <v>54</v>
      </c>
      <c r="B12" s="48" t="s">
        <v>50</v>
      </c>
      <c r="C12" s="43"/>
      <c r="D12" s="43"/>
      <c r="E12" s="42"/>
      <c r="F12" s="42"/>
      <c r="G12" s="42"/>
    </row>
    <row r="13" spans="1:10" x14ac:dyDescent="0.25">
      <c r="A13" s="51" t="s">
        <v>33</v>
      </c>
      <c r="B13" s="47"/>
      <c r="C13" s="43"/>
      <c r="D13" s="43"/>
      <c r="E13" s="42"/>
      <c r="F13" s="42"/>
      <c r="G13" s="42"/>
    </row>
    <row r="16" spans="1:10" ht="15.75" x14ac:dyDescent="0.25">
      <c r="B16" s="163" t="s">
        <v>51</v>
      </c>
      <c r="C16" s="163"/>
      <c r="D16" s="163"/>
      <c r="E16" s="163"/>
      <c r="F16" s="163"/>
      <c r="G16" s="163"/>
    </row>
    <row r="17" spans="1:7" ht="18.75" x14ac:dyDescent="0.25">
      <c r="B17" s="31"/>
      <c r="C17" s="31"/>
      <c r="D17" s="31"/>
      <c r="E17" s="31"/>
      <c r="F17" s="31"/>
      <c r="G17" s="31"/>
    </row>
    <row r="18" spans="1:7" ht="25.5" x14ac:dyDescent="0.25">
      <c r="A18" s="36" t="s">
        <v>41</v>
      </c>
      <c r="B18" s="37" t="s">
        <v>22</v>
      </c>
      <c r="C18" s="38" t="s">
        <v>13</v>
      </c>
      <c r="D18" s="38" t="s">
        <v>23</v>
      </c>
      <c r="E18" s="36" t="s">
        <v>24</v>
      </c>
      <c r="F18" s="36" t="s">
        <v>25</v>
      </c>
      <c r="G18" s="36" t="s">
        <v>26</v>
      </c>
    </row>
    <row r="19" spans="1:7" ht="10.15" customHeight="1" x14ac:dyDescent="0.25">
      <c r="A19" s="39">
        <v>1</v>
      </c>
      <c r="B19" s="39">
        <v>2</v>
      </c>
      <c r="C19" s="39">
        <v>3</v>
      </c>
      <c r="D19" s="39">
        <v>4</v>
      </c>
      <c r="E19" s="39">
        <v>5</v>
      </c>
      <c r="F19" s="39">
        <v>6</v>
      </c>
      <c r="G19" s="39">
        <v>7</v>
      </c>
    </row>
    <row r="20" spans="1:7" x14ac:dyDescent="0.25">
      <c r="A20" s="41">
        <v>8</v>
      </c>
      <c r="B20" s="41" t="s">
        <v>58</v>
      </c>
      <c r="C20" s="41"/>
      <c r="D20" s="41"/>
      <c r="E20" s="42"/>
      <c r="F20" s="42"/>
      <c r="G20" s="42"/>
    </row>
    <row r="21" spans="1:7" x14ac:dyDescent="0.25">
      <c r="A21" s="51">
        <v>81</v>
      </c>
      <c r="B21" s="43" t="s">
        <v>59</v>
      </c>
      <c r="C21" s="43"/>
      <c r="D21" s="43"/>
      <c r="E21" s="42"/>
      <c r="F21" s="42"/>
      <c r="G21" s="42"/>
    </row>
    <row r="22" spans="1:7" x14ac:dyDescent="0.25">
      <c r="A22" s="69" t="s">
        <v>33</v>
      </c>
      <c r="B22" s="43"/>
      <c r="C22" s="57"/>
      <c r="D22" s="57"/>
      <c r="E22" s="57"/>
      <c r="F22" s="57"/>
      <c r="G22" s="57"/>
    </row>
    <row r="23" spans="1:7" x14ac:dyDescent="0.25">
      <c r="A23" s="57"/>
      <c r="B23" s="50"/>
      <c r="C23" s="57"/>
      <c r="D23" s="57"/>
      <c r="E23" s="57"/>
      <c r="F23" s="57"/>
      <c r="G23" s="57"/>
    </row>
    <row r="24" spans="1:7" x14ac:dyDescent="0.25">
      <c r="A24" s="57"/>
      <c r="B24" s="41" t="s">
        <v>52</v>
      </c>
      <c r="C24" s="57"/>
      <c r="D24" s="57"/>
      <c r="E24" s="57"/>
      <c r="F24" s="57"/>
      <c r="G24" s="57"/>
    </row>
    <row r="25" spans="1:7" x14ac:dyDescent="0.25">
      <c r="A25" s="41">
        <v>1</v>
      </c>
      <c r="B25" s="41" t="s">
        <v>42</v>
      </c>
      <c r="C25" s="41"/>
      <c r="D25" s="41"/>
      <c r="E25" s="42"/>
      <c r="F25" s="42"/>
      <c r="G25" s="42"/>
    </row>
    <row r="26" spans="1:7" x14ac:dyDescent="0.25">
      <c r="A26" s="51">
        <v>11</v>
      </c>
      <c r="B26" s="43" t="s">
        <v>42</v>
      </c>
      <c r="C26" s="43"/>
      <c r="D26" s="43"/>
      <c r="E26" s="42"/>
      <c r="F26" s="42"/>
      <c r="G26" s="42"/>
    </row>
    <row r="27" spans="1:7" x14ac:dyDescent="0.25">
      <c r="A27" s="69" t="s">
        <v>33</v>
      </c>
      <c r="B27" s="49"/>
      <c r="C27" s="57"/>
      <c r="D27" s="57"/>
      <c r="E27" s="57"/>
      <c r="F27" s="57"/>
      <c r="G27" s="57"/>
    </row>
    <row r="28" spans="1:7" x14ac:dyDescent="0.25">
      <c r="A28" s="41">
        <v>3</v>
      </c>
      <c r="B28" s="41" t="s">
        <v>43</v>
      </c>
      <c r="C28" s="41"/>
      <c r="D28" s="41"/>
      <c r="E28" s="42"/>
      <c r="F28" s="42"/>
      <c r="G28" s="42"/>
    </row>
    <row r="29" spans="1:7" x14ac:dyDescent="0.25">
      <c r="A29" s="51">
        <v>31</v>
      </c>
      <c r="B29" s="43" t="s">
        <v>43</v>
      </c>
      <c r="C29" s="43"/>
      <c r="D29" s="43"/>
      <c r="E29" s="42"/>
      <c r="F29" s="42"/>
      <c r="G29" s="42"/>
    </row>
    <row r="30" spans="1:7" x14ac:dyDescent="0.25">
      <c r="A30" s="41">
        <v>4</v>
      </c>
      <c r="B30" s="41" t="s">
        <v>57</v>
      </c>
      <c r="C30" s="41"/>
      <c r="D30" s="41"/>
      <c r="E30" s="42"/>
      <c r="F30" s="42"/>
      <c r="G30" s="42"/>
    </row>
    <row r="31" spans="1:7" x14ac:dyDescent="0.25">
      <c r="A31" s="51">
        <v>43</v>
      </c>
      <c r="B31" s="43" t="s">
        <v>55</v>
      </c>
      <c r="C31" s="43"/>
      <c r="D31" s="43"/>
      <c r="E31" s="42"/>
      <c r="F31" s="42"/>
      <c r="G31" s="42"/>
    </row>
    <row r="32" spans="1:7" x14ac:dyDescent="0.25">
      <c r="A32" s="51" t="s">
        <v>33</v>
      </c>
      <c r="B32" s="43"/>
      <c r="C32" s="43"/>
      <c r="D32" s="43"/>
      <c r="E32" s="42"/>
      <c r="F32" s="42"/>
      <c r="G32" s="42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Posebni dio</vt:lpstr>
      <vt:lpstr> Račun financiranja</vt:lpstr>
      <vt:lpstr>' Račun financiranja'!Print_Area</vt:lpstr>
      <vt:lpstr>' Račun prihoda i rashoda'!Print_Area</vt:lpstr>
      <vt:lpstr>' Sažetak'!Print_Area</vt:lpstr>
      <vt:lpstr>'Posebni dio'!Print_Area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2025-11-26T12:53:22Z</dcterms:modified>
</cp:coreProperties>
</file>