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filterPrivacy="1"/>
  <xr:revisionPtr revIDLastSave="0" documentId="8_{2D5AB07D-3DF2-473A-B200-83DD95AC20A0}" xr6:coauthVersionLast="36" xr6:coauthVersionMax="36" xr10:uidLastSave="{00000000-0000-0000-0000-000000000000}"/>
  <bookViews>
    <workbookView xWindow="0" yWindow="0" windowWidth="28800" windowHeight="12105" activeTab="2" xr2:uid="{00000000-000D-0000-FFFF-FFFF00000000}"/>
  </bookViews>
  <sheets>
    <sheet name=" Sažetak" sheetId="2" r:id="rId1"/>
    <sheet name=" Račun prihoda i rashoda" sheetId="4" r:id="rId2"/>
    <sheet name="Posebni dio" sheetId="6" r:id="rId3"/>
    <sheet name=" Račun financiranja" sheetId="5" r:id="rId4"/>
  </sheets>
  <definedNames>
    <definedName name="_xlnm.Print_Area" localSheetId="3">' Račun financiranja'!$A$1:$G$32</definedName>
    <definedName name="_xlnm.Print_Area" localSheetId="1">' Račun prihoda i rashoda'!$A$1:$G$171</definedName>
    <definedName name="_xlnm.Print_Area" localSheetId="0">' Sažetak'!$A$1:$J$42</definedName>
    <definedName name="_xlnm.Print_Area" localSheetId="2">'Posebni dio'!$A$1:$F$110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4" i="4" l="1"/>
  <c r="F156" i="4"/>
  <c r="F154" i="4"/>
  <c r="D13" i="6"/>
  <c r="E13" i="6"/>
  <c r="C13" i="6"/>
  <c r="D58" i="6"/>
  <c r="E58" i="6"/>
  <c r="C58" i="6"/>
  <c r="D69" i="6"/>
  <c r="E69" i="6"/>
  <c r="C69" i="6"/>
  <c r="D83" i="6"/>
  <c r="E83" i="6"/>
  <c r="C83" i="6"/>
  <c r="D92" i="6"/>
  <c r="E92" i="6"/>
  <c r="C92" i="6"/>
  <c r="F12" i="6" l="1"/>
  <c r="F16" i="6"/>
  <c r="F19" i="6"/>
  <c r="F20" i="6"/>
  <c r="F23" i="6"/>
  <c r="F27" i="6"/>
  <c r="F28" i="6"/>
  <c r="F30" i="6"/>
  <c r="F31" i="6"/>
  <c r="F35" i="6"/>
  <c r="F39" i="6"/>
  <c r="F45" i="6"/>
  <c r="F47" i="6"/>
  <c r="F50" i="6"/>
  <c r="F51" i="6"/>
  <c r="F52" i="6"/>
  <c r="F56" i="6"/>
  <c r="F61" i="6"/>
  <c r="F62" i="6"/>
  <c r="F64" i="6"/>
  <c r="F67" i="6"/>
  <c r="F80" i="6"/>
  <c r="F81" i="6"/>
  <c r="F82" i="6"/>
  <c r="F87" i="6"/>
  <c r="F88" i="6"/>
  <c r="F91" i="6"/>
  <c r="F98" i="6"/>
  <c r="F101" i="6"/>
  <c r="F105" i="6"/>
  <c r="F110" i="6"/>
  <c r="H170" i="4"/>
  <c r="H171" i="4"/>
  <c r="H169" i="4"/>
  <c r="G170" i="4"/>
  <c r="G171" i="4"/>
  <c r="G169" i="4"/>
  <c r="H147" i="4"/>
  <c r="H150" i="4"/>
  <c r="H153" i="4"/>
  <c r="H157" i="4"/>
  <c r="H159" i="4"/>
  <c r="H161" i="4"/>
  <c r="H162" i="4"/>
  <c r="G147" i="4"/>
  <c r="G150" i="4"/>
  <c r="G153" i="4"/>
  <c r="G157" i="4"/>
  <c r="G159" i="4"/>
  <c r="G161" i="4"/>
  <c r="G162" i="4"/>
  <c r="F135" i="4"/>
  <c r="G135" i="4" s="1"/>
  <c r="F131" i="4"/>
  <c r="H131" i="4" s="1"/>
  <c r="F120" i="4"/>
  <c r="H120" i="4" s="1"/>
  <c r="G119" i="4"/>
  <c r="H119" i="4"/>
  <c r="H122" i="4"/>
  <c r="H123" i="4"/>
  <c r="H125" i="4"/>
  <c r="H126" i="4"/>
  <c r="H128" i="4"/>
  <c r="H129" i="4"/>
  <c r="H130" i="4"/>
  <c r="H132" i="4"/>
  <c r="H134" i="4"/>
  <c r="H137" i="4"/>
  <c r="G120" i="4"/>
  <c r="G122" i="4"/>
  <c r="G123" i="4"/>
  <c r="G125" i="4"/>
  <c r="G126" i="4"/>
  <c r="G128" i="4"/>
  <c r="G129" i="4"/>
  <c r="G130" i="4"/>
  <c r="G131" i="4"/>
  <c r="G132" i="4"/>
  <c r="G134" i="4"/>
  <c r="G137" i="4"/>
  <c r="H46" i="4"/>
  <c r="H47" i="4"/>
  <c r="H48" i="4"/>
  <c r="H49" i="4"/>
  <c r="H50" i="4"/>
  <c r="H51" i="4"/>
  <c r="H52" i="4"/>
  <c r="H53" i="4"/>
  <c r="H54" i="4"/>
  <c r="H55" i="4"/>
  <c r="H56" i="4"/>
  <c r="H57" i="4"/>
  <c r="H58" i="4"/>
  <c r="H59" i="4"/>
  <c r="H60" i="4"/>
  <c r="H61" i="4"/>
  <c r="H62" i="4"/>
  <c r="H63" i="4"/>
  <c r="H64" i="4"/>
  <c r="H65" i="4"/>
  <c r="H66" i="4"/>
  <c r="H67" i="4"/>
  <c r="H68" i="4"/>
  <c r="H69" i="4"/>
  <c r="H70" i="4"/>
  <c r="H71" i="4"/>
  <c r="H72" i="4"/>
  <c r="H73" i="4"/>
  <c r="H74" i="4"/>
  <c r="H75" i="4"/>
  <c r="H76" i="4"/>
  <c r="H77" i="4"/>
  <c r="H78" i="4"/>
  <c r="H79" i="4"/>
  <c r="H80" i="4"/>
  <c r="H81" i="4"/>
  <c r="H82" i="4"/>
  <c r="H83" i="4"/>
  <c r="H84" i="4"/>
  <c r="H85" i="4"/>
  <c r="H86" i="4"/>
  <c r="H87" i="4"/>
  <c r="H88" i="4"/>
  <c r="H89" i="4"/>
  <c r="H90" i="4"/>
  <c r="H91" i="4"/>
  <c r="H92" i="4"/>
  <c r="H93" i="4"/>
  <c r="H94" i="4"/>
  <c r="H95" i="4"/>
  <c r="H96" i="4"/>
  <c r="H97" i="4"/>
  <c r="H98" i="4"/>
  <c r="H99" i="4"/>
  <c r="H100" i="4"/>
  <c r="H101" i="4"/>
  <c r="H102" i="4"/>
  <c r="H103" i="4"/>
  <c r="H104" i="4"/>
  <c r="H105" i="4"/>
  <c r="H106" i="4"/>
  <c r="H107" i="4"/>
  <c r="H108" i="4"/>
  <c r="H109" i="4"/>
  <c r="H110" i="4"/>
  <c r="H45" i="4"/>
  <c r="G46" i="4"/>
  <c r="G47" i="4"/>
  <c r="G48" i="4"/>
  <c r="G49" i="4"/>
  <c r="G50" i="4"/>
  <c r="G51" i="4"/>
  <c r="G52" i="4"/>
  <c r="G53" i="4"/>
  <c r="G54" i="4"/>
  <c r="G55" i="4"/>
  <c r="G56" i="4"/>
  <c r="G57" i="4"/>
  <c r="G58" i="4"/>
  <c r="G59" i="4"/>
  <c r="G60" i="4"/>
  <c r="G61" i="4"/>
  <c r="G62" i="4"/>
  <c r="G63" i="4"/>
  <c r="G64" i="4"/>
  <c r="G65" i="4"/>
  <c r="G66" i="4"/>
  <c r="G67" i="4"/>
  <c r="G68" i="4"/>
  <c r="G69" i="4"/>
  <c r="G70" i="4"/>
  <c r="G71" i="4"/>
  <c r="G72" i="4"/>
  <c r="G73" i="4"/>
  <c r="G74" i="4"/>
  <c r="G75" i="4"/>
  <c r="G76" i="4"/>
  <c r="G77" i="4"/>
  <c r="G78" i="4"/>
  <c r="G79" i="4"/>
  <c r="G80" i="4"/>
  <c r="G81" i="4"/>
  <c r="G82" i="4"/>
  <c r="G83" i="4"/>
  <c r="G84" i="4"/>
  <c r="G85" i="4"/>
  <c r="G86" i="4"/>
  <c r="G87" i="4"/>
  <c r="G88" i="4"/>
  <c r="G89" i="4"/>
  <c r="G90" i="4"/>
  <c r="G91" i="4"/>
  <c r="G92" i="4"/>
  <c r="G93" i="4"/>
  <c r="G94" i="4"/>
  <c r="G95" i="4"/>
  <c r="G96" i="4"/>
  <c r="G97" i="4"/>
  <c r="G98" i="4"/>
  <c r="G99" i="4"/>
  <c r="G100" i="4"/>
  <c r="G101" i="4"/>
  <c r="G102" i="4"/>
  <c r="G103" i="4"/>
  <c r="G104" i="4"/>
  <c r="G105" i="4"/>
  <c r="G106" i="4"/>
  <c r="G107" i="4"/>
  <c r="G108" i="4"/>
  <c r="G109" i="4"/>
  <c r="G110" i="4"/>
  <c r="G45" i="4"/>
  <c r="G40" i="4"/>
  <c r="I15" i="2"/>
  <c r="I14" i="2"/>
  <c r="E94" i="6"/>
  <c r="E93" i="6" s="1"/>
  <c r="E49" i="6"/>
  <c r="E48" i="6" s="1"/>
  <c r="F155" i="4" s="1"/>
  <c r="H155" i="4" s="1"/>
  <c r="E18" i="6"/>
  <c r="I13" i="2" l="1"/>
  <c r="F49" i="6"/>
  <c r="F48" i="6"/>
  <c r="G155" i="4"/>
  <c r="H135" i="4"/>
  <c r="F55" i="4" l="1"/>
  <c r="F60" i="4"/>
  <c r="F66" i="4"/>
  <c r="F78" i="4"/>
  <c r="F85" i="4"/>
  <c r="H11" i="4"/>
  <c r="H12" i="4"/>
  <c r="H13" i="4"/>
  <c r="H14" i="4"/>
  <c r="H15" i="4"/>
  <c r="H16" i="4"/>
  <c r="H17" i="4"/>
  <c r="H18" i="4"/>
  <c r="H21" i="4"/>
  <c r="H22" i="4"/>
  <c r="H23" i="4"/>
  <c r="H25" i="4"/>
  <c r="H26" i="4"/>
  <c r="H28" i="4"/>
  <c r="H29" i="4"/>
  <c r="H30" i="4"/>
  <c r="H31" i="4"/>
  <c r="H32" i="4"/>
  <c r="H34" i="4"/>
  <c r="H35" i="4"/>
  <c r="H36" i="4"/>
  <c r="H37" i="4"/>
  <c r="H39" i="4"/>
  <c r="H40" i="4"/>
  <c r="G11" i="4"/>
  <c r="G12" i="4"/>
  <c r="G13" i="4"/>
  <c r="G14" i="4"/>
  <c r="G15" i="4"/>
  <c r="G16" i="4"/>
  <c r="G17" i="4"/>
  <c r="G18" i="4"/>
  <c r="G20" i="4"/>
  <c r="G21" i="4"/>
  <c r="G22" i="4"/>
  <c r="G23" i="4"/>
  <c r="G25" i="4"/>
  <c r="G26" i="4"/>
  <c r="G28" i="4"/>
  <c r="G29" i="4"/>
  <c r="G30" i="4"/>
  <c r="G31" i="4"/>
  <c r="G32" i="4"/>
  <c r="G34" i="4"/>
  <c r="G35" i="4"/>
  <c r="G36" i="4"/>
  <c r="G37" i="4"/>
  <c r="G39" i="4"/>
  <c r="F12" i="4"/>
  <c r="F26" i="4"/>
  <c r="F32" i="4"/>
  <c r="F37" i="4"/>
  <c r="F35" i="4"/>
  <c r="F11" i="4"/>
  <c r="F170" i="4"/>
  <c r="F169" i="4" s="1"/>
  <c r="F161" i="4"/>
  <c r="F136" i="4"/>
  <c r="F133" i="4"/>
  <c r="F127" i="4"/>
  <c r="F124" i="4"/>
  <c r="F121" i="4"/>
  <c r="F118" i="4"/>
  <c r="F105" i="4"/>
  <c r="F103" i="4"/>
  <c r="F100" i="4"/>
  <c r="F99" i="4"/>
  <c r="F96" i="4"/>
  <c r="F95" i="4"/>
  <c r="F92" i="4"/>
  <c r="F90" i="4"/>
  <c r="F86" i="4"/>
  <c r="F76" i="4"/>
  <c r="F52" i="4"/>
  <c r="F50" i="4"/>
  <c r="F48" i="4"/>
  <c r="F28" i="4"/>
  <c r="F25" i="4"/>
  <c r="F24" i="4" s="1"/>
  <c r="F22" i="4"/>
  <c r="F20" i="4"/>
  <c r="F16" i="4"/>
  <c r="F13" i="4"/>
  <c r="F31" i="4"/>
  <c r="F39" i="4"/>
  <c r="F38" i="4" s="1"/>
  <c r="H38" i="4" s="1"/>
  <c r="F33" i="4"/>
  <c r="H33" i="4" s="1"/>
  <c r="F34" i="4"/>
  <c r="F36" i="4"/>
  <c r="E109" i="6"/>
  <c r="E104" i="6"/>
  <c r="E100" i="6"/>
  <c r="E97" i="6"/>
  <c r="E90" i="6"/>
  <c r="E85" i="6"/>
  <c r="E79" i="6"/>
  <c r="E75" i="6"/>
  <c r="E71" i="6"/>
  <c r="E66" i="6"/>
  <c r="E63" i="6"/>
  <c r="E60" i="6"/>
  <c r="E55" i="6"/>
  <c r="E44" i="6"/>
  <c r="E40" i="6"/>
  <c r="E38" i="6"/>
  <c r="E34" i="6"/>
  <c r="E29" i="6"/>
  <c r="E26" i="6"/>
  <c r="E22" i="6"/>
  <c r="E17" i="6"/>
  <c r="E15" i="6"/>
  <c r="E11" i="6"/>
  <c r="E152" i="4"/>
  <c r="D152" i="4"/>
  <c r="E11" i="4"/>
  <c r="E33" i="4"/>
  <c r="E34" i="4"/>
  <c r="E38" i="4"/>
  <c r="E39" i="4"/>
  <c r="E10" i="6" l="1"/>
  <c r="E9" i="6" s="1"/>
  <c r="E74" i="6"/>
  <c r="E89" i="6"/>
  <c r="E21" i="6"/>
  <c r="E70" i="6"/>
  <c r="E108" i="6"/>
  <c r="E14" i="6"/>
  <c r="E99" i="6"/>
  <c r="E84" i="6"/>
  <c r="E25" i="6"/>
  <c r="E43" i="6"/>
  <c r="E78" i="6"/>
  <c r="F151" i="4"/>
  <c r="F149" i="4" s="1"/>
  <c r="E33" i="6"/>
  <c r="E54" i="6"/>
  <c r="E65" i="6"/>
  <c r="E103" i="6"/>
  <c r="H20" i="4"/>
  <c r="H136" i="4"/>
  <c r="G136" i="4"/>
  <c r="G133" i="4"/>
  <c r="H133" i="4"/>
  <c r="H127" i="4"/>
  <c r="G127" i="4"/>
  <c r="H124" i="4"/>
  <c r="G124" i="4"/>
  <c r="H121" i="4"/>
  <c r="G121" i="4"/>
  <c r="H118" i="4"/>
  <c r="G118" i="4"/>
  <c r="E59" i="6"/>
  <c r="F117" i="4"/>
  <c r="E37" i="6"/>
  <c r="F102" i="4"/>
  <c r="F98" i="4" s="1"/>
  <c r="F47" i="4"/>
  <c r="F19" i="4"/>
  <c r="F27" i="4"/>
  <c r="F54" i="4"/>
  <c r="F89" i="4"/>
  <c r="F10" i="4"/>
  <c r="D92" i="4"/>
  <c r="C92" i="4"/>
  <c r="E161" i="4"/>
  <c r="D161" i="4"/>
  <c r="C161" i="4"/>
  <c r="D39" i="4"/>
  <c r="C39" i="4"/>
  <c r="C38" i="4" s="1"/>
  <c r="G38" i="4" s="1"/>
  <c r="D38" i="4"/>
  <c r="D136" i="4"/>
  <c r="E136" i="4"/>
  <c r="C136" i="4"/>
  <c r="G151" i="4" l="1"/>
  <c r="H154" i="4"/>
  <c r="H151" i="4"/>
  <c r="E32" i="6"/>
  <c r="E42" i="6"/>
  <c r="F148" i="4"/>
  <c r="G148" i="4" s="1"/>
  <c r="E102" i="6"/>
  <c r="F145" i="4"/>
  <c r="E107" i="6"/>
  <c r="G144" i="4"/>
  <c r="E24" i="6"/>
  <c r="E53" i="6"/>
  <c r="G154" i="4"/>
  <c r="H144" i="4"/>
  <c r="H149" i="4"/>
  <c r="G149" i="4"/>
  <c r="H117" i="4"/>
  <c r="G117" i="4"/>
  <c r="E36" i="6"/>
  <c r="F160" i="4"/>
  <c r="F46" i="4"/>
  <c r="F45" i="4" s="1"/>
  <c r="F9" i="4"/>
  <c r="G24" i="2"/>
  <c r="G13" i="2"/>
  <c r="G10" i="2"/>
  <c r="D143" i="4"/>
  <c r="D146" i="4"/>
  <c r="D149" i="4"/>
  <c r="D158" i="4"/>
  <c r="D118" i="4"/>
  <c r="D121" i="4"/>
  <c r="D124" i="4"/>
  <c r="D133" i="4"/>
  <c r="D127" i="4"/>
  <c r="E92" i="4"/>
  <c r="D170" i="4"/>
  <c r="D169" i="4" s="1"/>
  <c r="D105" i="4"/>
  <c r="D103" i="4"/>
  <c r="D100" i="4"/>
  <c r="D99" i="4" s="1"/>
  <c r="D96" i="4"/>
  <c r="D95" i="4" s="1"/>
  <c r="D90" i="4"/>
  <c r="D89" i="4" s="1"/>
  <c r="D86" i="4"/>
  <c r="D85" i="4" s="1"/>
  <c r="D50" i="4"/>
  <c r="D84" i="4"/>
  <c r="D81" i="4"/>
  <c r="D77" i="4"/>
  <c r="D76" i="4" s="1"/>
  <c r="D75" i="4"/>
  <c r="D74" i="4"/>
  <c r="D73" i="4"/>
  <c r="D72" i="4"/>
  <c r="D71" i="4"/>
  <c r="D70" i="4"/>
  <c r="D69" i="4"/>
  <c r="D62" i="4"/>
  <c r="D61" i="4"/>
  <c r="D57" i="4"/>
  <c r="D56" i="4"/>
  <c r="D53" i="4"/>
  <c r="D52" i="4" s="1"/>
  <c r="D49" i="4"/>
  <c r="D48" i="4" s="1"/>
  <c r="D35" i="4"/>
  <c r="D31" i="4"/>
  <c r="D28" i="4"/>
  <c r="D25" i="4"/>
  <c r="D24" i="4" s="1"/>
  <c r="D22" i="4"/>
  <c r="D20" i="4"/>
  <c r="D16" i="4"/>
  <c r="D13" i="4"/>
  <c r="D11" i="4"/>
  <c r="D22" i="6"/>
  <c r="C22" i="6"/>
  <c r="C21" i="6" s="1"/>
  <c r="D100" i="6"/>
  <c r="C100" i="6"/>
  <c r="C99" i="6" s="1"/>
  <c r="D96" i="6"/>
  <c r="F96" i="6" s="1"/>
  <c r="D95" i="6"/>
  <c r="F95" i="6" s="1"/>
  <c r="C90" i="6"/>
  <c r="C89" i="6" s="1"/>
  <c r="D90" i="6"/>
  <c r="C85" i="6"/>
  <c r="D86" i="6"/>
  <c r="D79" i="6"/>
  <c r="F79" i="6" s="1"/>
  <c r="C79" i="6"/>
  <c r="D77" i="6"/>
  <c r="F77" i="6" s="1"/>
  <c r="D76" i="6"/>
  <c r="F76" i="6" s="1"/>
  <c r="D73" i="6"/>
  <c r="F73" i="6" s="1"/>
  <c r="D72" i="6"/>
  <c r="F72" i="6" s="1"/>
  <c r="D63" i="6"/>
  <c r="F63" i="6" s="1"/>
  <c r="C63" i="6"/>
  <c r="D41" i="6"/>
  <c r="F41" i="6" s="1"/>
  <c r="D11" i="6"/>
  <c r="F11" i="6" s="1"/>
  <c r="D46" i="6"/>
  <c r="F46" i="6" s="1"/>
  <c r="F146" i="4" l="1"/>
  <c r="H146" i="4" s="1"/>
  <c r="F152" i="4"/>
  <c r="H152" i="4" s="1"/>
  <c r="H148" i="4"/>
  <c r="E68" i="6"/>
  <c r="D89" i="6"/>
  <c r="F89" i="6" s="1"/>
  <c r="F90" i="6"/>
  <c r="D99" i="6"/>
  <c r="F99" i="6" s="1"/>
  <c r="F100" i="6"/>
  <c r="G145" i="4"/>
  <c r="H145" i="4"/>
  <c r="E8" i="6"/>
  <c r="F143" i="4"/>
  <c r="G143" i="4" s="1"/>
  <c r="D85" i="6"/>
  <c r="F85" i="6" s="1"/>
  <c r="F86" i="6"/>
  <c r="D21" i="6"/>
  <c r="F21" i="6" s="1"/>
  <c r="F22" i="6"/>
  <c r="E57" i="6"/>
  <c r="G156" i="4"/>
  <c r="H156" i="4"/>
  <c r="E106" i="6"/>
  <c r="I11" i="2"/>
  <c r="G146" i="4"/>
  <c r="F158" i="4"/>
  <c r="G160" i="4"/>
  <c r="H160" i="4"/>
  <c r="F8" i="4"/>
  <c r="D19" i="4"/>
  <c r="D117" i="4"/>
  <c r="D34" i="4"/>
  <c r="D33" i="4" s="1"/>
  <c r="D55" i="4"/>
  <c r="D78" i="4"/>
  <c r="D142" i="4"/>
  <c r="D60" i="4"/>
  <c r="D66" i="4"/>
  <c r="G16" i="2"/>
  <c r="G25" i="2" s="1"/>
  <c r="E105" i="4"/>
  <c r="D47" i="4"/>
  <c r="D102" i="4"/>
  <c r="D98" i="4" s="1"/>
  <c r="D27" i="4"/>
  <c r="D10" i="4"/>
  <c r="G152" i="4" l="1"/>
  <c r="H143" i="4"/>
  <c r="E7" i="6"/>
  <c r="H8" i="4"/>
  <c r="I10" i="2"/>
  <c r="F142" i="4"/>
  <c r="H158" i="4"/>
  <c r="G158" i="4"/>
  <c r="D54" i="4"/>
  <c r="D46" i="4" s="1"/>
  <c r="D45" i="4" s="1"/>
  <c r="D9" i="4"/>
  <c r="D8" i="4" s="1"/>
  <c r="E6" i="6" l="1"/>
  <c r="I16" i="2"/>
  <c r="H142" i="4"/>
  <c r="G142" i="4"/>
  <c r="C170" i="4"/>
  <c r="C169" i="4" s="1"/>
  <c r="E96" i="4"/>
  <c r="E90" i="4"/>
  <c r="E89" i="4" s="1"/>
  <c r="C152" i="4" l="1"/>
  <c r="E133" i="4" l="1"/>
  <c r="C133" i="4"/>
  <c r="E127" i="4"/>
  <c r="C127" i="4"/>
  <c r="E124" i="4"/>
  <c r="C124" i="4"/>
  <c r="E121" i="4"/>
  <c r="C121" i="4"/>
  <c r="E118" i="4"/>
  <c r="C118" i="4"/>
  <c r="E158" i="4"/>
  <c r="C158" i="4"/>
  <c r="E149" i="4"/>
  <c r="C149" i="4"/>
  <c r="E146" i="4"/>
  <c r="C146" i="4"/>
  <c r="E143" i="4"/>
  <c r="C143" i="4"/>
  <c r="C117" i="4" l="1"/>
  <c r="E142" i="4"/>
  <c r="E117" i="4"/>
  <c r="C142" i="4"/>
  <c r="C96" i="4" l="1"/>
  <c r="C95" i="4" s="1"/>
  <c r="C103" i="4"/>
  <c r="C90" i="4"/>
  <c r="C89" i="4" s="1"/>
  <c r="C100" i="4"/>
  <c r="C99" i="4" s="1"/>
  <c r="E95" i="4"/>
  <c r="C86" i="4"/>
  <c r="C85" i="4" s="1"/>
  <c r="C78" i="4"/>
  <c r="C76" i="4"/>
  <c r="C66" i="4"/>
  <c r="C60" i="4"/>
  <c r="C55" i="4"/>
  <c r="C52" i="4"/>
  <c r="C105" i="4"/>
  <c r="C50" i="4"/>
  <c r="C48" i="4"/>
  <c r="C16" i="4"/>
  <c r="C31" i="4"/>
  <c r="C25" i="4"/>
  <c r="C24" i="4" s="1"/>
  <c r="G24" i="4" s="1"/>
  <c r="C22" i="4"/>
  <c r="C20" i="4"/>
  <c r="C13" i="4"/>
  <c r="C11" i="4"/>
  <c r="C102" i="4" l="1"/>
  <c r="C98" i="4" s="1"/>
  <c r="C54" i="4"/>
  <c r="C47" i="4"/>
  <c r="C10" i="4"/>
  <c r="G10" i="4" s="1"/>
  <c r="C34" i="4"/>
  <c r="C33" i="4" s="1"/>
  <c r="G33" i="4" s="1"/>
  <c r="C28" i="4"/>
  <c r="C27" i="4" s="1"/>
  <c r="G27" i="4" s="1"/>
  <c r="C19" i="4"/>
  <c r="G19" i="4" s="1"/>
  <c r="F15" i="2" l="1"/>
  <c r="J15" i="2" s="1"/>
  <c r="C46" i="4"/>
  <c r="F14" i="2" s="1"/>
  <c r="J14" i="2" s="1"/>
  <c r="C9" i="4"/>
  <c r="G9" i="4" s="1"/>
  <c r="C45" i="4" l="1"/>
  <c r="F11" i="2"/>
  <c r="J11" i="2" s="1"/>
  <c r="C8" i="4"/>
  <c r="G8" i="4" s="1"/>
  <c r="E31" i="4"/>
  <c r="E28" i="4"/>
  <c r="E25" i="4"/>
  <c r="E22" i="4"/>
  <c r="E20" i="4"/>
  <c r="E100" i="4"/>
  <c r="E99" i="4" s="1"/>
  <c r="E76" i="4"/>
  <c r="E55" i="4"/>
  <c r="E103" i="4"/>
  <c r="E48" i="4"/>
  <c r="E50" i="4"/>
  <c r="E52" i="4"/>
  <c r="C44" i="6"/>
  <c r="C43" i="6" s="1"/>
  <c r="C42" i="6" s="1"/>
  <c r="C26" i="6"/>
  <c r="D78" i="6"/>
  <c r="F78" i="6" s="1"/>
  <c r="C78" i="6"/>
  <c r="D55" i="6"/>
  <c r="C55" i="6"/>
  <c r="C54" i="6" s="1"/>
  <c r="C53" i="6" s="1"/>
  <c r="D44" i="6"/>
  <c r="F44" i="6" s="1"/>
  <c r="D29" i="6"/>
  <c r="F29" i="6" s="1"/>
  <c r="D26" i="6"/>
  <c r="C29" i="6"/>
  <c r="D66" i="6"/>
  <c r="F66" i="6" s="1"/>
  <c r="C66" i="6"/>
  <c r="C65" i="6" s="1"/>
  <c r="D34" i="6"/>
  <c r="F34" i="6" s="1"/>
  <c r="C34" i="6"/>
  <c r="C33" i="6" s="1"/>
  <c r="C32" i="6" s="1"/>
  <c r="D18" i="6"/>
  <c r="F18" i="6" s="1"/>
  <c r="C18" i="6"/>
  <c r="C17" i="6" s="1"/>
  <c r="D97" i="6"/>
  <c r="F97" i="6" s="1"/>
  <c r="C97" i="6"/>
  <c r="D94" i="6"/>
  <c r="F94" i="6" s="1"/>
  <c r="C94" i="6"/>
  <c r="D84" i="6"/>
  <c r="F84" i="6" s="1"/>
  <c r="C84" i="6"/>
  <c r="D75" i="6"/>
  <c r="F75" i="6" s="1"/>
  <c r="C75" i="6"/>
  <c r="C74" i="6" s="1"/>
  <c r="C71" i="6"/>
  <c r="C70" i="6" s="1"/>
  <c r="D40" i="6"/>
  <c r="F40" i="6" s="1"/>
  <c r="C40" i="6"/>
  <c r="D38" i="6"/>
  <c r="F38" i="6" s="1"/>
  <c r="C38" i="6"/>
  <c r="C109" i="6"/>
  <c r="C108" i="6" s="1"/>
  <c r="C107" i="6" s="1"/>
  <c r="C106" i="6" s="1"/>
  <c r="C104" i="6"/>
  <c r="C103" i="6" s="1"/>
  <c r="C102" i="6" s="1"/>
  <c r="C60" i="6"/>
  <c r="C59" i="6" s="1"/>
  <c r="C15" i="6"/>
  <c r="C14" i="6" s="1"/>
  <c r="C11" i="6"/>
  <c r="C10" i="6" s="1"/>
  <c r="C9" i="6" s="1"/>
  <c r="D109" i="6"/>
  <c r="D104" i="6"/>
  <c r="D71" i="6"/>
  <c r="F71" i="6" s="1"/>
  <c r="D25" i="6" l="1"/>
  <c r="F26" i="6"/>
  <c r="D54" i="6"/>
  <c r="F55" i="6"/>
  <c r="D103" i="6"/>
  <c r="F104" i="6"/>
  <c r="D108" i="6"/>
  <c r="F109" i="6"/>
  <c r="E27" i="4"/>
  <c r="H27" i="4" s="1"/>
  <c r="D17" i="6"/>
  <c r="F17" i="6" s="1"/>
  <c r="D74" i="6"/>
  <c r="F74" i="6" s="1"/>
  <c r="D33" i="6"/>
  <c r="F33" i="6" s="1"/>
  <c r="D65" i="6"/>
  <c r="F65" i="6" s="1"/>
  <c r="D70" i="6"/>
  <c r="F70" i="6" s="1"/>
  <c r="C93" i="6"/>
  <c r="E24" i="4"/>
  <c r="H24" i="4" s="1"/>
  <c r="E102" i="4"/>
  <c r="D93" i="6"/>
  <c r="F93" i="6" s="1"/>
  <c r="C57" i="6"/>
  <c r="C25" i="6"/>
  <c r="C24" i="6" s="1"/>
  <c r="C37" i="6"/>
  <c r="C36" i="6" s="1"/>
  <c r="D37" i="6"/>
  <c r="F37" i="6" s="1"/>
  <c r="E47" i="4"/>
  <c r="E86" i="4"/>
  <c r="E19" i="4"/>
  <c r="H19" i="4" s="1"/>
  <c r="E16" i="4"/>
  <c r="E13" i="4"/>
  <c r="E60" i="4"/>
  <c r="E78" i="4"/>
  <c r="E66" i="4"/>
  <c r="D43" i="6"/>
  <c r="F43" i="6" s="1"/>
  <c r="D60" i="6"/>
  <c r="F60" i="6" s="1"/>
  <c r="D15" i="6"/>
  <c r="D10" i="6"/>
  <c r="D9" i="6" l="1"/>
  <c r="F9" i="6" s="1"/>
  <c r="F10" i="6"/>
  <c r="D24" i="6"/>
  <c r="F24" i="6" s="1"/>
  <c r="F25" i="6"/>
  <c r="F83" i="6"/>
  <c r="D14" i="6"/>
  <c r="F14" i="6" s="1"/>
  <c r="F15" i="6"/>
  <c r="D107" i="6"/>
  <c r="F108" i="6"/>
  <c r="D102" i="6"/>
  <c r="F102" i="6" s="1"/>
  <c r="F103" i="6"/>
  <c r="D53" i="6"/>
  <c r="F53" i="6" s="1"/>
  <c r="F54" i="6"/>
  <c r="C68" i="6"/>
  <c r="C8" i="6"/>
  <c r="F69" i="6"/>
  <c r="D42" i="6"/>
  <c r="F42" i="6" s="1"/>
  <c r="D32" i="6"/>
  <c r="F32" i="6" s="1"/>
  <c r="D59" i="6"/>
  <c r="F59" i="6" s="1"/>
  <c r="D36" i="6"/>
  <c r="F36" i="6" s="1"/>
  <c r="E85" i="4"/>
  <c r="E98" i="4"/>
  <c r="E10" i="4"/>
  <c r="E54" i="4"/>
  <c r="F42" i="2"/>
  <c r="H39" i="2"/>
  <c r="H42" i="2" s="1"/>
  <c r="I39" i="2" s="1"/>
  <c r="I42" i="2" s="1"/>
  <c r="I24" i="2"/>
  <c r="H24" i="2"/>
  <c r="F24" i="2"/>
  <c r="F13" i="2"/>
  <c r="J13" i="2" s="1"/>
  <c r="F10" i="2"/>
  <c r="J10" i="2" s="1"/>
  <c r="D106" i="6" l="1"/>
  <c r="F106" i="6" s="1"/>
  <c r="F107" i="6"/>
  <c r="F92" i="6"/>
  <c r="E9" i="4"/>
  <c r="H10" i="4"/>
  <c r="C7" i="6"/>
  <c r="C6" i="6" s="1"/>
  <c r="E46" i="4"/>
  <c r="H14" i="2" s="1"/>
  <c r="K14" i="2" s="1"/>
  <c r="H15" i="2"/>
  <c r="K15" i="2" s="1"/>
  <c r="F16" i="2"/>
  <c r="F25" i="2" l="1"/>
  <c r="F32" i="2" s="1"/>
  <c r="F33" i="2" s="1"/>
  <c r="J16" i="2"/>
  <c r="D68" i="6"/>
  <c r="F68" i="6" s="1"/>
  <c r="D8" i="6"/>
  <c r="F8" i="6" s="1"/>
  <c r="F13" i="6"/>
  <c r="D57" i="6"/>
  <c r="F57" i="6" s="1"/>
  <c r="F58" i="6"/>
  <c r="E8" i="4"/>
  <c r="H9" i="4"/>
  <c r="E45" i="4"/>
  <c r="H11" i="2"/>
  <c r="E170" i="4"/>
  <c r="E169" i="4" s="1"/>
  <c r="H10" i="2" l="1"/>
  <c r="K10" i="2" s="1"/>
  <c r="K11" i="2"/>
  <c r="D7" i="6"/>
  <c r="H13" i="2"/>
  <c r="H16" i="2" l="1"/>
  <c r="K13" i="2"/>
  <c r="D6" i="6"/>
  <c r="F7" i="6"/>
  <c r="I25" i="2"/>
  <c r="H25" i="2" l="1"/>
  <c r="H32" i="2" s="1"/>
  <c r="H33" i="2" s="1"/>
  <c r="K16" i="2"/>
  <c r="F6" i="6"/>
  <c r="I32" i="2"/>
  <c r="J25" i="2"/>
  <c r="K25" i="2"/>
  <c r="I33" i="2" l="1"/>
  <c r="K32" i="2"/>
  <c r="J32" i="2"/>
</calcChain>
</file>

<file path=xl/sharedStrings.xml><?xml version="1.0" encoding="utf-8"?>
<sst xmlns="http://schemas.openxmlformats.org/spreadsheetml/2006/main" count="556" uniqueCount="296">
  <si>
    <t>I. OPĆI DIO</t>
  </si>
  <si>
    <t>6 PRIHODI POSLOVANJA</t>
  </si>
  <si>
    <t>7 PRIHODI OD PRODAJE NEFINANCIJSKE IMOVINE</t>
  </si>
  <si>
    <t>PRIHODI UKUPNO</t>
  </si>
  <si>
    <t>3 RASHODI  POSLOVANJA</t>
  </si>
  <si>
    <t>4 RASHODI ZA NABAVU NEFINANCIJSKE IMOVINE</t>
  </si>
  <si>
    <t>RASHODI UKUPNO</t>
  </si>
  <si>
    <t>RAZLIKA - VIŠAK / MANJAK</t>
  </si>
  <si>
    <t>8 PRIMICI OD FINANCIJSKE IMOVINE I ZADUŽIVANJA</t>
  </si>
  <si>
    <t>5 IZDACI ZA FINANCIJSKU IMOVINU I OTPLATE ZAJMOVA</t>
  </si>
  <si>
    <t>NETO FINANCIRANJE</t>
  </si>
  <si>
    <t>VIŠAK / MANJAK + NETO FINANCIRANJE</t>
  </si>
  <si>
    <t>RAZRED I NAZIV</t>
  </si>
  <si>
    <t>IZVRŠENJE 
(t-2)</t>
  </si>
  <si>
    <t>A) SAŽETAK RAČUNA PRIHODA I RASHODA</t>
  </si>
  <si>
    <t>B) SAŽETAK RAČUNA FINANCIRANJA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</si>
  <si>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</si>
  <si>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</si>
  <si>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</si>
  <si>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</si>
  <si>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D) VIŠEGODIŠNJI PLAN URAVNOTEŽENJA</t>
  </si>
  <si>
    <t>VIŠAK / MANJAK IZ PRETHODNE(IH) GODINE KOJI ĆE SE RASPOREDITI / POKRITI</t>
  </si>
  <si>
    <t>NAZIV</t>
  </si>
  <si>
    <t>TEKUĆI PLAN 
(t-1)</t>
  </si>
  <si>
    <t>PLAN 
(t)</t>
  </si>
  <si>
    <t>PROJEKCIJA 
(t+1)</t>
  </si>
  <si>
    <t>PROJEKCIJA
(t+2)</t>
  </si>
  <si>
    <t xml:space="preserve">A. RAČUN PRIHODA I RASHODA </t>
  </si>
  <si>
    <t>A1. PRIHODI I RASHODI PREMA EKONOMSKOJ KLASIFIKACIJI</t>
  </si>
  <si>
    <t>UKUPNO PRIHODI</t>
  </si>
  <si>
    <t>Prihodi poslovanja</t>
  </si>
  <si>
    <t>Pomoći iz inozemstva i od subjekata unutar općeg proračuna</t>
  </si>
  <si>
    <t xml:space="preserve"> Prihodi od prodaje proizvoda i robe te pruženih usluga i prihodi od donacija</t>
  </si>
  <si>
    <t>…</t>
  </si>
  <si>
    <t>UKUPNO RASHODI</t>
  </si>
  <si>
    <t>Rashodi poslovanja</t>
  </si>
  <si>
    <t>Rashodi za zaposlene</t>
  </si>
  <si>
    <t>Materijalni rashodi</t>
  </si>
  <si>
    <t>Rashodi za nabavu nefinancijske imovine</t>
  </si>
  <si>
    <t>Rashodi za nabavu neproizvedene dugotrajne imovine</t>
  </si>
  <si>
    <t>A2. PRIHODI I RASHODI PREMA IZVORIMA FINANCIRANJA</t>
  </si>
  <si>
    <t>Razred/
skupina</t>
  </si>
  <si>
    <t>Opći prihodi i primici</t>
  </si>
  <si>
    <t>Vlastiti prihodi</t>
  </si>
  <si>
    <t>A3. RASHODI PREMA FUNKCIJSKOJ KLASIFIKACIJI</t>
  </si>
  <si>
    <t>B. RAČUN FINANCIRANJA</t>
  </si>
  <si>
    <t>B1. RAČUN FINANCIRANJA PREMA EKONOMSKOJ KLASIFIKACIJI</t>
  </si>
  <si>
    <t>Primici od financijske imovine i zaduživanja</t>
  </si>
  <si>
    <t>Primici od zaduživanja</t>
  </si>
  <si>
    <t>Izdaci za financijsku imovinu i otplate zajmova</t>
  </si>
  <si>
    <t>Izdaci za otplatu glavnice primljenih kredita i zajmova</t>
  </si>
  <si>
    <t>B2. RAČUN FINANCIRANJA PREMA IZVORIMA FINANCIRANJA</t>
  </si>
  <si>
    <t xml:space="preserve">UKUPNO IZDACI </t>
  </si>
  <si>
    <t>II. POSEBNI DIO</t>
  </si>
  <si>
    <t>ŠIFRA</t>
  </si>
  <si>
    <t>Ostali prihodi za posebne namjene</t>
  </si>
  <si>
    <t>Vlastii prihodi</t>
  </si>
  <si>
    <t>Prihodi za posebne namjene</t>
  </si>
  <si>
    <t>Namjenski primici</t>
  </si>
  <si>
    <t>Namjenski primici od zaduživanja</t>
  </si>
  <si>
    <t>VIŠAK / MANJAK TEKUĆE GODINE
(VIŠAK / MANJAK + NETO FINANCIRANJE)</t>
  </si>
  <si>
    <t>RAZDJEL 009</t>
  </si>
  <si>
    <t>UPRAVNI ODJEL ZA OBRAZOVANJE, SPORT I TEHNIČKU KULTURU</t>
  </si>
  <si>
    <t>GLAVA 04/RKP 36436</t>
  </si>
  <si>
    <t>VISOKO OBRAZOVNE USTANOVE ISTASKO VELEUČILIŠTE</t>
  </si>
  <si>
    <t>PROGRAM 2503</t>
  </si>
  <si>
    <t>REDOVNA DJELATNOST ISTARSKOG VELEUČILIŠTA</t>
  </si>
  <si>
    <t>Aktivnost A250311</t>
  </si>
  <si>
    <t>RASHODI ZA ZAPOSLENE</t>
  </si>
  <si>
    <t>Nenamjenski prihodi i primici</t>
  </si>
  <si>
    <t>Razred 3</t>
  </si>
  <si>
    <t>Skupina 32</t>
  </si>
  <si>
    <t>Skupina 31</t>
  </si>
  <si>
    <t>IZVRŠENJE 
2024</t>
  </si>
  <si>
    <t>Aktivnost A250312</t>
  </si>
  <si>
    <t>MATERIJALNI RASHODI</t>
  </si>
  <si>
    <t>Izvor financiranja 1.1.001</t>
  </si>
  <si>
    <t>Prihodi za posebne namjene - vlastiti</t>
  </si>
  <si>
    <t>Aktivnost A250501</t>
  </si>
  <si>
    <t>MATERIJALNI RASHODI - METRIS</t>
  </si>
  <si>
    <t>PROGRAM 2505</t>
  </si>
  <si>
    <t>CENTAR ISTRAŽIVANJA METRIS</t>
  </si>
  <si>
    <t>Skupina 34</t>
  </si>
  <si>
    <t xml:space="preserve">Vlastiti prihodi </t>
  </si>
  <si>
    <t>Aktivnost A250306</t>
  </si>
  <si>
    <t>Izvor financiranja 5.0.183</t>
  </si>
  <si>
    <t>Agencija za mobilnost i programe EU za proračunske korisnike</t>
  </si>
  <si>
    <t>EU PROJEKT: ERASMUS + program MOBILNOST</t>
  </si>
  <si>
    <t>PROGRAM 9213</t>
  </si>
  <si>
    <t>EU projekti u školstvu</t>
  </si>
  <si>
    <t>PROGRAM 9223</t>
  </si>
  <si>
    <t>I-STEM</t>
  </si>
  <si>
    <t>Skupina 41</t>
  </si>
  <si>
    <t>Razred 4</t>
  </si>
  <si>
    <t>Tekući projekt T250322</t>
  </si>
  <si>
    <t>Donacije- Istarsko veleučilište</t>
  </si>
  <si>
    <t>Skupina 42</t>
  </si>
  <si>
    <t>Tekući projekt T921312</t>
  </si>
  <si>
    <t>Resonance</t>
  </si>
  <si>
    <t>BusCARD 4.0 Iot</t>
  </si>
  <si>
    <t>Tekući projekt T921313</t>
  </si>
  <si>
    <t>Tekući projekt T921314</t>
  </si>
  <si>
    <t>ISTRAživački centar METRIS</t>
  </si>
  <si>
    <t>Izvor financiranja 5.1.999</t>
  </si>
  <si>
    <t>Prihodi od EU projekata- OSTALO</t>
  </si>
  <si>
    <t>Tekući projekt T921315</t>
  </si>
  <si>
    <t>STEAM Kreator spajaju znanost i umjetnost</t>
  </si>
  <si>
    <t>Izvor financiranja 5.6.131</t>
  </si>
  <si>
    <t>Europski socijalni fond</t>
  </si>
  <si>
    <t>Tekući projekt T922301</t>
  </si>
  <si>
    <t>Provedba projekta: I- STEM</t>
  </si>
  <si>
    <t>Izvor financiranja 5.6.111</t>
  </si>
  <si>
    <t>Prihodi od EU projekte ESF+</t>
  </si>
  <si>
    <t>RASHODI ZA NABAVU NEPROIZVEDENE DUTORAJNE IMOVINE</t>
  </si>
  <si>
    <t>RASHODI ZA NABAVU PROIZVEDENE DUTORAJNE IMOVINE</t>
  </si>
  <si>
    <t>FINANCIJSKI RASHODI</t>
  </si>
  <si>
    <t>Jadranko 2.0</t>
  </si>
  <si>
    <t>Izvor financiranja 1.5.003</t>
  </si>
  <si>
    <t>Prihodi za EU projekte IT-HR</t>
  </si>
  <si>
    <t>Izvor financiranja 1.5.009</t>
  </si>
  <si>
    <t>Prihodi za EU projekte ITP 2021-2027</t>
  </si>
  <si>
    <t>Izvor financiranja 4.7.500</t>
  </si>
  <si>
    <t>Aktivnost A250320</t>
  </si>
  <si>
    <t>CJELOŽIVOTNO UČENJE</t>
  </si>
  <si>
    <t>Izvor financiranja 3.2.500</t>
  </si>
  <si>
    <t>Aktivnost A250301</t>
  </si>
  <si>
    <t>SUFINANCIRANJE REDOVNE DJELATNOSTI</t>
  </si>
  <si>
    <t>Skupina 37</t>
  </si>
  <si>
    <t>NAKNADE GRAĐANIMA I KUĆANSTVIMA</t>
  </si>
  <si>
    <t>Aktivnost K250317</t>
  </si>
  <si>
    <t>Obnova zgrade Istarskog veleučilišta</t>
  </si>
  <si>
    <t>Intereg  VI A IT-CRO CBC Programme 2021-2027</t>
  </si>
  <si>
    <t>Skupina 36</t>
  </si>
  <si>
    <t>3211</t>
  </si>
  <si>
    <t>3212</t>
  </si>
  <si>
    <t>3213</t>
  </si>
  <si>
    <t>3221</t>
  </si>
  <si>
    <t>3223</t>
  </si>
  <si>
    <t>3224</t>
  </si>
  <si>
    <t>3225</t>
  </si>
  <si>
    <t>3227</t>
  </si>
  <si>
    <t>3231</t>
  </si>
  <si>
    <t>3232</t>
  </si>
  <si>
    <t>3233</t>
  </si>
  <si>
    <t>3234</t>
  </si>
  <si>
    <t>3235</t>
  </si>
  <si>
    <t>3236</t>
  </si>
  <si>
    <t>3237</t>
  </si>
  <si>
    <t>3238</t>
  </si>
  <si>
    <t>3239</t>
  </si>
  <si>
    <t>3241</t>
  </si>
  <si>
    <t>3291</t>
  </si>
  <si>
    <t>3292</t>
  </si>
  <si>
    <t>3293</t>
  </si>
  <si>
    <t>3294</t>
  </si>
  <si>
    <t>3295</t>
  </si>
  <si>
    <t>3299</t>
  </si>
  <si>
    <t>3431</t>
  </si>
  <si>
    <t>4123</t>
  </si>
  <si>
    <t>4212</t>
  </si>
  <si>
    <t>4221</t>
  </si>
  <si>
    <t>4224</t>
  </si>
  <si>
    <t>4225</t>
  </si>
  <si>
    <t>4227</t>
  </si>
  <si>
    <t>6323</t>
  </si>
  <si>
    <t>6381</t>
  </si>
  <si>
    <t>6382</t>
  </si>
  <si>
    <t>6393</t>
  </si>
  <si>
    <t>6394</t>
  </si>
  <si>
    <t>6413</t>
  </si>
  <si>
    <t>6422</t>
  </si>
  <si>
    <t>6526</t>
  </si>
  <si>
    <t>6615</t>
  </si>
  <si>
    <t>6631</t>
  </si>
  <si>
    <t>6711</t>
  </si>
  <si>
    <t>6712</t>
  </si>
  <si>
    <t>09</t>
  </si>
  <si>
    <t>094</t>
  </si>
  <si>
    <t>Visoka naobrazba</t>
  </si>
  <si>
    <t>Obrazovanje</t>
  </si>
  <si>
    <t>Pomoći od međunarodnih organizacija te institucija i tijela EU</t>
  </si>
  <si>
    <t>Tekuće pomoći od institucija i tijela EU</t>
  </si>
  <si>
    <t>Pomoći temeljem prijenosa EU sredstava</t>
  </si>
  <si>
    <t>Tekuće pomoći iz državnog proračuna temeljem prijenosa EU sredstava</t>
  </si>
  <si>
    <t>Prihodi od imovine</t>
  </si>
  <si>
    <t>Prihodi od financijske imovine</t>
  </si>
  <si>
    <t>Kamate na oročena sredstva i depozite po viđenju</t>
  </si>
  <si>
    <t>Prihodi od zakupa</t>
  </si>
  <si>
    <t>Prihodi od zakupa i iznajmljivanja imovine</t>
  </si>
  <si>
    <t>Prihodi od upravnih i admin.pristojbi po posebnim propisima i naknadama</t>
  </si>
  <si>
    <t>Prihodi po posebnim propisima</t>
  </si>
  <si>
    <t>Prihodi od školarina</t>
  </si>
  <si>
    <t>Prihodi od prodaje proizvoda i robe te pruženih usluga</t>
  </si>
  <si>
    <t>Prihodi od obavljanja osnovnih poslova vlastite djelatnosti Centar istraživanja METRIS</t>
  </si>
  <si>
    <t>Prihodi od pruženih usluga</t>
  </si>
  <si>
    <t>Donacije od pravnih i fizičkih osoba</t>
  </si>
  <si>
    <t xml:space="preserve">Tekuće donacije </t>
  </si>
  <si>
    <t>Prihodi iz nadležnog proračuna</t>
  </si>
  <si>
    <t xml:space="preserve">Prihodi iz nadležnog proračuna za financiranje redovne djelatnosti proračunskih korisnika </t>
  </si>
  <si>
    <t>Prihodi za financiranje rashoda poslovanja Veleučilište i Metris</t>
  </si>
  <si>
    <t>Plaće (Bruto)</t>
  </si>
  <si>
    <t>Plaće za redovan rad</t>
  </si>
  <si>
    <t>Ostali rashodi za zaposlene</t>
  </si>
  <si>
    <t>Doprinosi na plaće</t>
  </si>
  <si>
    <t>Dorpinosi za zdravstveno osiguranje</t>
  </si>
  <si>
    <t>Naknade troškova zaposlenima</t>
  </si>
  <si>
    <t>Službena putovanja</t>
  </si>
  <si>
    <t>Naknade za prijevoz</t>
  </si>
  <si>
    <t>Stručno usavršavanje zaposlenika</t>
  </si>
  <si>
    <t>Ostale naknade troškova zaposlenima</t>
  </si>
  <si>
    <t>Rashodi za materijal i energiju</t>
  </si>
  <si>
    <t>Uredski material i ostali materijalni rashodi</t>
  </si>
  <si>
    <t>Energija</t>
  </si>
  <si>
    <t>Materijal i djelovi za tekuće i inv.održavanje</t>
  </si>
  <si>
    <t>Sitan inventar</t>
  </si>
  <si>
    <t>Službena, radna i zaštitna odjeća i obuća</t>
  </si>
  <si>
    <t>Rashodi za usluge</t>
  </si>
  <si>
    <t>Usluge telefona, pošte i prijevoza</t>
  </si>
  <si>
    <t>Usluge tekućeg i investicijskog održavanja</t>
  </si>
  <si>
    <t>Usluge promidžbe i informiranja</t>
  </si>
  <si>
    <t>Komunalne usluge</t>
  </si>
  <si>
    <t>Zakupnine i najamnine</t>
  </si>
  <si>
    <t>Zdravstvene i veterinarske usluge</t>
  </si>
  <si>
    <t>Intelektualne usluge</t>
  </si>
  <si>
    <t>Računalne usluge</t>
  </si>
  <si>
    <t>Ostale usluge</t>
  </si>
  <si>
    <t>Naknade troškova osobama izvan radnog odnosa</t>
  </si>
  <si>
    <t>Ostali nespomenuti rashodi poslovanja</t>
  </si>
  <si>
    <t>Naknade za rad predstavničkih i izvršnih tijela</t>
  </si>
  <si>
    <t>Premije osiguranja</t>
  </si>
  <si>
    <t>Reprezentacija</t>
  </si>
  <si>
    <t>Članarine</t>
  </si>
  <si>
    <t>Pristojbe i naknade</t>
  </si>
  <si>
    <t>Financijski rashodi</t>
  </si>
  <si>
    <t>Ostali financijski rashodi</t>
  </si>
  <si>
    <t>Bankarske usluge i usluge platnog prometa</t>
  </si>
  <si>
    <t>Zatezne kamate</t>
  </si>
  <si>
    <t>Pomoći dane u inozemstvo i unutar općeg proračuna</t>
  </si>
  <si>
    <t>Tekuće pomoći temeljem prijenosa EU sredstava</t>
  </si>
  <si>
    <t>Naknade građanima i kućanstvima u novcu</t>
  </si>
  <si>
    <t>Ostale naknade građanima - projekt Erasmus</t>
  </si>
  <si>
    <t>Nematerijalna imovina</t>
  </si>
  <si>
    <t>Licence</t>
  </si>
  <si>
    <t>Rashodi za nabavu proizv. dugotrajne imovine</t>
  </si>
  <si>
    <t>Građevinski objekti</t>
  </si>
  <si>
    <t xml:space="preserve">Poslovni objekti </t>
  </si>
  <si>
    <t>Postrojenja i oprema</t>
  </si>
  <si>
    <t>Komunikacijska oprema</t>
  </si>
  <si>
    <t xml:space="preserve">Prihodi za financiranje rashoda poslovanja </t>
  </si>
  <si>
    <t>Prihodi za predfinanciranje projekata</t>
  </si>
  <si>
    <t>Prihodi za EU projekte</t>
  </si>
  <si>
    <t>Prihodi za posebne namjene-Školarina</t>
  </si>
  <si>
    <t>Donacije Calucem</t>
  </si>
  <si>
    <t>Donacije</t>
  </si>
  <si>
    <t>Agencija za mobilnost i programe EU za proračunske</t>
  </si>
  <si>
    <t>Pomoći</t>
  </si>
  <si>
    <t>Donacije i sponzorstva pravnih osoba</t>
  </si>
  <si>
    <t>Inozemne darovnice</t>
  </si>
  <si>
    <t>Fondovi EU</t>
  </si>
  <si>
    <t>Ostali programi EU</t>
  </si>
  <si>
    <t>Vlastiti prihodi Centar istraživanja METRIS</t>
  </si>
  <si>
    <t>Kapitalne pomoći temeljem prijenosa  EU sredstava</t>
  </si>
  <si>
    <t>Prijenosi između proračunskih korisnika istog proračuna</t>
  </si>
  <si>
    <t>Tekući prijenosi između proračunskih korisnika istog proračuna temeljem prijenosa EU sredstava</t>
  </si>
  <si>
    <t>Kapitalni prijenosi između proračunskih korisnika istog proračuna temeljem prijenosa EU sredstava</t>
  </si>
  <si>
    <t>Uredska oprema i namještaj</t>
  </si>
  <si>
    <t>Medicinska i laboratorijska oprema</t>
  </si>
  <si>
    <t xml:space="preserve">Instrumenti, uređaji i strojevi </t>
  </si>
  <si>
    <t>Uređaji, strojevi i oprema za ostale namjene</t>
  </si>
  <si>
    <t>PLAN 
2025.</t>
  </si>
  <si>
    <t>Izvor financiranja 5.1.500</t>
  </si>
  <si>
    <t>Izvor financiranja 9.1.001</t>
  </si>
  <si>
    <t>Višak prethodne godine- nenamjenski</t>
  </si>
  <si>
    <t>Izvor financiranja 6.2.001</t>
  </si>
  <si>
    <t>Osiguravajuća društva za proračunske korisnike</t>
  </si>
  <si>
    <t>PLAN 2025</t>
  </si>
  <si>
    <t>INDEKS</t>
  </si>
  <si>
    <t>Višak prethodne godine-nenamjenski</t>
  </si>
  <si>
    <t>Rezultat poslovanja</t>
  </si>
  <si>
    <t>Višak/manjak prihoda</t>
  </si>
  <si>
    <t>Višak prihoda</t>
  </si>
  <si>
    <t>Tekući prijenosi između proračunskih korisnika istog proračuna</t>
  </si>
  <si>
    <t>2. IZMJENE I DOPUNE PLANA 2025</t>
  </si>
  <si>
    <t>2. IZMJENE I DOPUNE
2025</t>
  </si>
  <si>
    <t>IZVORNI PLAN 2025</t>
  </si>
  <si>
    <t>IZVRŠENJE 2025</t>
  </si>
  <si>
    <t>IZVRŠENJE 2025.</t>
  </si>
  <si>
    <t>2. IZMJENE I DOPUNE
2025.</t>
  </si>
  <si>
    <t xml:space="preserve">ISTARSKO VELEUČILIŠTE
IZVRŠENJE FINANCIJSKOG PLANA 
ZA 2025. GODINU </t>
  </si>
  <si>
    <t>Izvor financiranja 5.3.083</t>
  </si>
  <si>
    <t>Izvor financiranja 6.2.500</t>
  </si>
  <si>
    <t>7=6/3*100</t>
  </si>
  <si>
    <t>8=6/5*100</t>
  </si>
  <si>
    <t>6=5/2*100</t>
  </si>
  <si>
    <t>7=5/4*100</t>
  </si>
  <si>
    <t>6=5/4*100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</si>
</sst>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4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8"/>
      <color indexed="8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4"/>
      <name val="Times New Roman"/>
      <family val="1"/>
      <charset val="238"/>
    </font>
    <font>
      <sz val="8"/>
      <color theme="1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sz val="10"/>
      <color theme="1"/>
      <name val="Arial"/>
      <family val="2"/>
    </font>
    <font>
      <b/>
      <sz val="10"/>
      <color indexed="8"/>
      <name val="Times New Roman"/>
      <family val="1"/>
    </font>
    <font>
      <sz val="10"/>
      <name val="Times New Roman"/>
      <family val="1"/>
    </font>
    <font>
      <sz val="10"/>
      <color indexed="8"/>
      <name val="Arial"/>
      <family val="2"/>
    </font>
    <font>
      <b/>
      <i/>
      <sz val="14"/>
      <color indexed="8"/>
      <name val="Times New Roman"/>
      <family val="1"/>
    </font>
    <font>
      <b/>
      <sz val="10"/>
      <name val="Times New Roman"/>
      <family val="1"/>
    </font>
    <font>
      <b/>
      <sz val="11"/>
      <color theme="1"/>
      <name val="Times New Roman"/>
      <family val="1"/>
    </font>
    <font>
      <b/>
      <i/>
      <sz val="11"/>
      <color theme="1"/>
      <name val="Times New Roman"/>
      <family val="1"/>
    </font>
    <font>
      <b/>
      <i/>
      <sz val="10"/>
      <color indexed="8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2" fillId="0" borderId="0"/>
    <xf numFmtId="0" fontId="1" fillId="0" borderId="0"/>
  </cellStyleXfs>
  <cellXfs count="158">
    <xf numFmtId="0" fontId="0" fillId="0" borderId="0" xfId="0"/>
    <xf numFmtId="0" fontId="4" fillId="0" borderId="0" xfId="1" applyFont="1"/>
    <xf numFmtId="0" fontId="4" fillId="0" borderId="0" xfId="2" applyFont="1"/>
    <xf numFmtId="0" fontId="6" fillId="0" borderId="0" xfId="2" applyNumberFormat="1" applyFont="1" applyFill="1" applyBorder="1" applyAlignment="1" applyProtection="1">
      <alignment horizontal="center" vertical="center" wrapText="1"/>
    </xf>
    <xf numFmtId="0" fontId="8" fillId="0" borderId="0" xfId="2" applyNumberFormat="1" applyFont="1" applyFill="1" applyBorder="1" applyAlignment="1" applyProtection="1">
      <alignment vertical="center" wrapText="1"/>
    </xf>
    <xf numFmtId="0" fontId="6" fillId="0" borderId="0" xfId="2" applyNumberFormat="1" applyFont="1" applyFill="1" applyBorder="1" applyAlignment="1" applyProtection="1">
      <alignment horizontal="left" wrapText="1"/>
    </xf>
    <xf numFmtId="0" fontId="10" fillId="0" borderId="0" xfId="2" applyNumberFormat="1" applyFont="1" applyFill="1" applyBorder="1" applyAlignment="1" applyProtection="1">
      <alignment wrapText="1"/>
    </xf>
    <xf numFmtId="0" fontId="6" fillId="0" borderId="1" xfId="2" applyNumberFormat="1" applyFont="1" applyFill="1" applyBorder="1" applyAlignment="1" applyProtection="1">
      <alignment horizontal="center" vertical="center" wrapText="1"/>
    </xf>
    <xf numFmtId="0" fontId="11" fillId="0" borderId="1" xfId="2" applyFont="1" applyBorder="1" applyAlignment="1">
      <alignment horizontal="center" vertical="center"/>
    </xf>
    <xf numFmtId="0" fontId="12" fillId="0" borderId="1" xfId="2" applyFont="1" applyBorder="1" applyAlignment="1">
      <alignment horizontal="right" vertical="center"/>
    </xf>
    <xf numFmtId="3" fontId="13" fillId="3" borderId="4" xfId="2" applyNumberFormat="1" applyFont="1" applyFill="1" applyBorder="1" applyAlignment="1">
      <alignment horizontal="right"/>
    </xf>
    <xf numFmtId="0" fontId="15" fillId="3" borderId="2" xfId="2" applyFont="1" applyFill="1" applyBorder="1" applyAlignment="1">
      <alignment horizontal="left" vertical="center"/>
    </xf>
    <xf numFmtId="3" fontId="13" fillId="0" borderId="4" xfId="2" applyNumberFormat="1" applyFont="1" applyFill="1" applyBorder="1" applyAlignment="1" applyProtection="1">
      <alignment horizontal="right" wrapText="1"/>
    </xf>
    <xf numFmtId="3" fontId="13" fillId="0" borderId="4" xfId="2" applyNumberFormat="1" applyFont="1" applyBorder="1" applyAlignment="1">
      <alignment horizontal="right"/>
    </xf>
    <xf numFmtId="0" fontId="10" fillId="0" borderId="0" xfId="2" applyNumberFormat="1" applyFont="1" applyFill="1" applyBorder="1" applyAlignment="1" applyProtection="1">
      <alignment horizontal="center" vertical="center" wrapText="1"/>
    </xf>
    <xf numFmtId="0" fontId="8" fillId="0" borderId="0" xfId="2" applyNumberFormat="1" applyFont="1" applyFill="1" applyBorder="1" applyAlignment="1" applyProtection="1"/>
    <xf numFmtId="0" fontId="6" fillId="0" borderId="0" xfId="2" quotePrefix="1" applyNumberFormat="1" applyFont="1" applyFill="1" applyBorder="1" applyAlignment="1" applyProtection="1">
      <alignment horizontal="center" vertical="center" wrapText="1"/>
    </xf>
    <xf numFmtId="3" fontId="15" fillId="4" borderId="2" xfId="2" quotePrefix="1" applyNumberFormat="1" applyFont="1" applyFill="1" applyBorder="1" applyAlignment="1">
      <alignment horizontal="right"/>
    </xf>
    <xf numFmtId="3" fontId="15" fillId="4" borderId="4" xfId="2" applyNumberFormat="1" applyFont="1" applyFill="1" applyBorder="1" applyAlignment="1" applyProtection="1">
      <alignment horizontal="right" wrapText="1"/>
    </xf>
    <xf numFmtId="3" fontId="15" fillId="3" borderId="2" xfId="2" quotePrefix="1" applyNumberFormat="1" applyFont="1" applyFill="1" applyBorder="1" applyAlignment="1">
      <alignment horizontal="right"/>
    </xf>
    <xf numFmtId="3" fontId="15" fillId="3" borderId="4" xfId="2" quotePrefix="1" applyNumberFormat="1" applyFont="1" applyFill="1" applyBorder="1" applyAlignment="1">
      <alignment horizontal="right"/>
    </xf>
    <xf numFmtId="0" fontId="18" fillId="0" borderId="0" xfId="2" applyFont="1" applyAlignment="1">
      <alignment wrapText="1"/>
    </xf>
    <xf numFmtId="0" fontId="19" fillId="0" borderId="0" xfId="2" quotePrefix="1" applyNumberFormat="1" applyFont="1" applyFill="1" applyBorder="1" applyAlignment="1" applyProtection="1">
      <alignment horizontal="center" vertical="center" wrapText="1"/>
    </xf>
    <xf numFmtId="0" fontId="20" fillId="0" borderId="0" xfId="2" applyNumberFormat="1" applyFont="1" applyFill="1" applyBorder="1" applyAlignment="1" applyProtection="1">
      <alignment horizontal="center" vertical="center" wrapText="1"/>
    </xf>
    <xf numFmtId="0" fontId="16" fillId="0" borderId="0" xfId="2" applyNumberFormat="1" applyFont="1" applyFill="1" applyBorder="1" applyAlignment="1" applyProtection="1"/>
    <xf numFmtId="3" fontId="13" fillId="3" borderId="2" xfId="2" quotePrefix="1" applyNumberFormat="1" applyFont="1" applyFill="1" applyBorder="1" applyAlignment="1">
      <alignment horizontal="right"/>
    </xf>
    <xf numFmtId="3" fontId="13" fillId="3" borderId="4" xfId="2" quotePrefix="1" applyNumberFormat="1" applyFont="1" applyFill="1" applyBorder="1" applyAlignment="1">
      <alignment horizontal="right"/>
    </xf>
    <xf numFmtId="0" fontId="17" fillId="0" borderId="0" xfId="2" applyNumberFormat="1" applyFont="1" applyFill="1" applyBorder="1" applyAlignment="1" applyProtection="1">
      <alignment horizontal="center" vertical="center" wrapText="1"/>
    </xf>
    <xf numFmtId="0" fontId="5" fillId="0" borderId="0" xfId="2" applyNumberFormat="1" applyFont="1" applyFill="1" applyBorder="1" applyAlignment="1" applyProtection="1">
      <alignment horizontal="center" vertical="center" wrapText="1"/>
    </xf>
    <xf numFmtId="0" fontId="9" fillId="0" borderId="0" xfId="2" applyFont="1" applyAlignment="1">
      <alignment wrapText="1"/>
    </xf>
    <xf numFmtId="0" fontId="16" fillId="3" borderId="3" xfId="2" applyNumberFormat="1" applyFont="1" applyFill="1" applyBorder="1" applyAlignment="1" applyProtection="1">
      <alignment vertical="center"/>
    </xf>
    <xf numFmtId="0" fontId="6" fillId="0" borderId="0" xfId="3" applyNumberFormat="1" applyFont="1" applyFill="1" applyBorder="1" applyAlignment="1" applyProtection="1">
      <alignment horizontal="center" vertical="center" wrapText="1"/>
    </xf>
    <xf numFmtId="0" fontId="4" fillId="0" borderId="0" xfId="3" applyFont="1"/>
    <xf numFmtId="0" fontId="8" fillId="0" borderId="0" xfId="3" applyNumberFormat="1" applyFont="1" applyFill="1" applyBorder="1" applyAlignment="1" applyProtection="1">
      <alignment vertical="center" wrapText="1"/>
    </xf>
    <xf numFmtId="0" fontId="9" fillId="0" borderId="0" xfId="3" applyFont="1" applyAlignment="1">
      <alignment wrapText="1"/>
    </xf>
    <xf numFmtId="0" fontId="9" fillId="0" borderId="0" xfId="3" applyFont="1" applyAlignment="1">
      <alignment vertical="center" wrapText="1"/>
    </xf>
    <xf numFmtId="0" fontId="13" fillId="3" borderId="4" xfId="3" applyNumberFormat="1" applyFont="1" applyFill="1" applyBorder="1" applyAlignment="1" applyProtection="1">
      <alignment horizontal="center" vertical="center" wrapText="1"/>
    </xf>
    <xf numFmtId="0" fontId="13" fillId="3" borderId="5" xfId="3" applyNumberFormat="1" applyFont="1" applyFill="1" applyBorder="1" applyAlignment="1" applyProtection="1">
      <alignment horizontal="center" vertical="center" wrapText="1"/>
    </xf>
    <xf numFmtId="0" fontId="13" fillId="3" borderId="4" xfId="3" quotePrefix="1" applyFont="1" applyFill="1" applyBorder="1" applyAlignment="1">
      <alignment horizontal="center" vertical="center" wrapText="1"/>
    </xf>
    <xf numFmtId="0" fontId="14" fillId="3" borderId="4" xfId="3" quotePrefix="1" applyFont="1" applyFill="1" applyBorder="1" applyAlignment="1">
      <alignment horizontal="center" vertical="center" wrapText="1"/>
    </xf>
    <xf numFmtId="0" fontId="21" fillId="0" borderId="0" xfId="3" applyFont="1" applyFill="1"/>
    <xf numFmtId="0" fontId="15" fillId="2" borderId="4" xfId="3" applyNumberFormat="1" applyFont="1" applyFill="1" applyBorder="1" applyAlignment="1" applyProtection="1">
      <alignment horizontal="left" vertical="center" wrapText="1"/>
    </xf>
    <xf numFmtId="3" fontId="8" fillId="2" borderId="4" xfId="3" applyNumberFormat="1" applyFont="1" applyFill="1" applyBorder="1" applyAlignment="1">
      <alignment horizontal="right"/>
    </xf>
    <xf numFmtId="0" fontId="16" fillId="2" borderId="4" xfId="3" applyNumberFormat="1" applyFont="1" applyFill="1" applyBorder="1" applyAlignment="1" applyProtection="1">
      <alignment horizontal="left" vertical="center" wrapText="1"/>
    </xf>
    <xf numFmtId="0" fontId="16" fillId="2" borderId="4" xfId="3" quotePrefix="1" applyFont="1" applyFill="1" applyBorder="1" applyAlignment="1">
      <alignment horizontal="left" vertical="center"/>
    </xf>
    <xf numFmtId="0" fontId="16" fillId="2" borderId="4" xfId="3" quotePrefix="1" applyFont="1" applyFill="1" applyBorder="1" applyAlignment="1">
      <alignment horizontal="left" vertical="center" wrapText="1"/>
    </xf>
    <xf numFmtId="0" fontId="22" fillId="2" borderId="4" xfId="3" quotePrefix="1" applyFont="1" applyFill="1" applyBorder="1" applyAlignment="1">
      <alignment horizontal="left" vertical="center" wrapText="1"/>
    </xf>
    <xf numFmtId="0" fontId="15" fillId="2" borderId="4" xfId="3" applyNumberFormat="1" applyFont="1" applyFill="1" applyBorder="1" applyAlignment="1" applyProtection="1">
      <alignment vertical="center" wrapText="1"/>
    </xf>
    <xf numFmtId="0" fontId="16" fillId="2" borderId="4" xfId="3" applyNumberFormat="1" applyFont="1" applyFill="1" applyBorder="1" applyAlignment="1" applyProtection="1">
      <alignment vertical="center" wrapText="1"/>
    </xf>
    <xf numFmtId="0" fontId="22" fillId="2" borderId="4" xfId="3" applyFont="1" applyFill="1" applyBorder="1" applyAlignment="1">
      <alignment horizontal="left" vertical="center" indent="1"/>
    </xf>
    <xf numFmtId="0" fontId="22" fillId="2" borderId="4" xfId="3" applyNumberFormat="1" applyFont="1" applyFill="1" applyBorder="1" applyAlignment="1" applyProtection="1">
      <alignment horizontal="left" vertical="center" wrapText="1" indent="1"/>
    </xf>
    <xf numFmtId="0" fontId="16" fillId="2" borderId="4" xfId="3" applyNumberFormat="1" applyFont="1" applyFill="1" applyBorder="1" applyAlignment="1" applyProtection="1">
      <alignment horizontal="left" vertical="center" wrapText="1" indent="2"/>
    </xf>
    <xf numFmtId="0" fontId="16" fillId="2" borderId="4" xfId="3" quotePrefix="1" applyFont="1" applyFill="1" applyBorder="1" applyAlignment="1">
      <alignment horizontal="left" vertical="center" indent="2"/>
    </xf>
    <xf numFmtId="0" fontId="5" fillId="0" borderId="0" xfId="3" applyNumberFormat="1" applyFont="1" applyFill="1" applyBorder="1" applyAlignment="1" applyProtection="1">
      <alignment vertical="center" wrapText="1"/>
    </xf>
    <xf numFmtId="49" fontId="15" fillId="2" borderId="4" xfId="3" applyNumberFormat="1" applyFont="1" applyFill="1" applyBorder="1" applyAlignment="1" applyProtection="1">
      <alignment horizontal="left" vertical="center" wrapText="1"/>
    </xf>
    <xf numFmtId="49" fontId="16" fillId="2" borderId="4" xfId="3" applyNumberFormat="1" applyFont="1" applyFill="1" applyBorder="1" applyAlignment="1" applyProtection="1">
      <alignment horizontal="left" vertical="center" wrapText="1" indent="2"/>
    </xf>
    <xf numFmtId="0" fontId="5" fillId="0" borderId="0" xfId="3" applyNumberFormat="1" applyFont="1" applyFill="1" applyBorder="1" applyAlignment="1" applyProtection="1">
      <alignment horizontal="left" vertical="center"/>
    </xf>
    <xf numFmtId="0" fontId="4" fillId="0" borderId="4" xfId="3" applyFont="1" applyBorder="1"/>
    <xf numFmtId="0" fontId="4" fillId="0" borderId="0" xfId="3" applyFont="1" applyAlignment="1">
      <alignment horizontal="left" indent="1"/>
    </xf>
    <xf numFmtId="0" fontId="8" fillId="2" borderId="4" xfId="0" applyNumberFormat="1" applyFont="1" applyFill="1" applyBorder="1" applyAlignment="1" applyProtection="1">
      <alignment horizontal="left" vertical="center" wrapText="1" indent="6"/>
    </xf>
    <xf numFmtId="0" fontId="8" fillId="2" borderId="4" xfId="0" applyNumberFormat="1" applyFont="1" applyFill="1" applyBorder="1" applyAlignment="1" applyProtection="1">
      <alignment horizontal="left" vertical="center" wrapText="1"/>
    </xf>
    <xf numFmtId="0" fontId="8" fillId="2" borderId="4" xfId="0" applyNumberFormat="1" applyFont="1" applyFill="1" applyBorder="1" applyAlignment="1" applyProtection="1">
      <alignment horizontal="left" vertical="center" wrapText="1" indent="7"/>
    </xf>
    <xf numFmtId="0" fontId="13" fillId="0" borderId="4" xfId="3" quotePrefix="1" applyFont="1" applyBorder="1" applyAlignment="1">
      <alignment horizontal="center" vertical="center" wrapText="1"/>
    </xf>
    <xf numFmtId="0" fontId="13" fillId="2" borderId="4" xfId="3" applyNumberFormat="1" applyFont="1" applyFill="1" applyBorder="1" applyAlignment="1" applyProtection="1">
      <alignment horizontal="center" vertical="center" wrapText="1"/>
    </xf>
    <xf numFmtId="0" fontId="14" fillId="0" borderId="4" xfId="3" quotePrefix="1" applyFont="1" applyBorder="1" applyAlignment="1">
      <alignment horizontal="center" vertical="center" wrapText="1"/>
    </xf>
    <xf numFmtId="0" fontId="14" fillId="2" borderId="4" xfId="3" applyNumberFormat="1" applyFont="1" applyFill="1" applyBorder="1" applyAlignment="1" applyProtection="1">
      <alignment horizontal="center" vertical="center" wrapText="1"/>
    </xf>
    <xf numFmtId="0" fontId="4" fillId="0" borderId="4" xfId="3" applyFont="1" applyBorder="1" applyAlignment="1">
      <alignment horizontal="center"/>
    </xf>
    <xf numFmtId="0" fontId="8" fillId="0" borderId="4" xfId="0" applyNumberFormat="1" applyFont="1" applyFill="1" applyBorder="1" applyAlignment="1" applyProtection="1">
      <alignment horizontal="left" vertical="center" wrapText="1"/>
    </xf>
    <xf numFmtId="0" fontId="24" fillId="5" borderId="4" xfId="3" applyNumberFormat="1" applyFont="1" applyFill="1" applyBorder="1" applyAlignment="1" applyProtection="1">
      <alignment horizontal="left" vertical="center" wrapText="1" indent="2"/>
    </xf>
    <xf numFmtId="0" fontId="24" fillId="5" borderId="4" xfId="3" applyNumberFormat="1" applyFont="1" applyFill="1" applyBorder="1" applyAlignment="1" applyProtection="1">
      <alignment horizontal="left" vertical="center" wrapText="1"/>
    </xf>
    <xf numFmtId="0" fontId="24" fillId="6" borderId="4" xfId="3" applyNumberFormat="1" applyFont="1" applyFill="1" applyBorder="1" applyAlignment="1" applyProtection="1">
      <alignment horizontal="left" vertical="center" wrapText="1" indent="1"/>
    </xf>
    <xf numFmtId="0" fontId="24" fillId="6" borderId="4" xfId="3" applyNumberFormat="1" applyFont="1" applyFill="1" applyBorder="1" applyAlignment="1" applyProtection="1">
      <alignment horizontal="left" vertical="center" wrapText="1"/>
    </xf>
    <xf numFmtId="0" fontId="24" fillId="7" borderId="4" xfId="3" applyNumberFormat="1" applyFont="1" applyFill="1" applyBorder="1" applyAlignment="1" applyProtection="1">
      <alignment horizontal="left" vertical="center" wrapText="1"/>
    </xf>
    <xf numFmtId="0" fontId="23" fillId="8" borderId="4" xfId="3" applyNumberFormat="1" applyFont="1" applyFill="1" applyBorder="1" applyAlignment="1" applyProtection="1">
      <alignment horizontal="left" vertical="top" wrapText="1"/>
    </xf>
    <xf numFmtId="0" fontId="23" fillId="8" borderId="4" xfId="3" applyNumberFormat="1" applyFont="1" applyFill="1" applyBorder="1" applyAlignment="1" applyProtection="1">
      <alignment horizontal="left" vertical="center" wrapText="1"/>
    </xf>
    <xf numFmtId="4" fontId="6" fillId="0" borderId="0" xfId="3" applyNumberFormat="1" applyFont="1" applyFill="1" applyBorder="1" applyAlignment="1" applyProtection="1">
      <alignment horizontal="center" vertical="center" wrapText="1"/>
    </xf>
    <xf numFmtId="4" fontId="8" fillId="0" borderId="0" xfId="3" applyNumberFormat="1" applyFont="1" applyFill="1" applyBorder="1" applyAlignment="1" applyProtection="1">
      <alignment vertical="center" wrapText="1"/>
    </xf>
    <xf numFmtId="4" fontId="13" fillId="3" borderId="4" xfId="3" quotePrefix="1" applyNumberFormat="1" applyFont="1" applyFill="1" applyBorder="1" applyAlignment="1">
      <alignment horizontal="center" vertical="center" wrapText="1"/>
    </xf>
    <xf numFmtId="4" fontId="13" fillId="3" borderId="4" xfId="3" applyNumberFormat="1" applyFont="1" applyFill="1" applyBorder="1" applyAlignment="1" applyProtection="1">
      <alignment horizontal="center" vertical="center" wrapText="1"/>
    </xf>
    <xf numFmtId="4" fontId="23" fillId="7" borderId="4" xfId="3" applyNumberFormat="1" applyFont="1" applyFill="1" applyBorder="1" applyAlignment="1">
      <alignment horizontal="left"/>
    </xf>
    <xf numFmtId="4" fontId="23" fillId="6" borderId="4" xfId="3" applyNumberFormat="1" applyFont="1" applyFill="1" applyBorder="1" applyAlignment="1">
      <alignment horizontal="left"/>
    </xf>
    <xf numFmtId="4" fontId="23" fillId="5" borderId="4" xfId="3" applyNumberFormat="1" applyFont="1" applyFill="1" applyBorder="1" applyAlignment="1">
      <alignment horizontal="left"/>
    </xf>
    <xf numFmtId="4" fontId="23" fillId="8" borderId="4" xfId="3" applyNumberFormat="1" applyFont="1" applyFill="1" applyBorder="1" applyAlignment="1">
      <alignment horizontal="left" vertical="top"/>
    </xf>
    <xf numFmtId="4" fontId="8" fillId="2" borderId="4" xfId="3" applyNumberFormat="1" applyFont="1" applyFill="1" applyBorder="1" applyAlignment="1">
      <alignment horizontal="right"/>
    </xf>
    <xf numFmtId="4" fontId="23" fillId="8" borderId="4" xfId="3" applyNumberFormat="1" applyFont="1" applyFill="1" applyBorder="1" applyAlignment="1">
      <alignment horizontal="left"/>
    </xf>
    <xf numFmtId="4" fontId="4" fillId="0" borderId="0" xfId="3" applyNumberFormat="1" applyFont="1"/>
    <xf numFmtId="4" fontId="8" fillId="2" borderId="4" xfId="3" applyNumberFormat="1" applyFont="1" applyFill="1" applyBorder="1" applyAlignment="1">
      <alignment horizontal="right" indent="1"/>
    </xf>
    <xf numFmtId="0" fontId="16" fillId="6" borderId="4" xfId="3" applyNumberFormat="1" applyFont="1" applyFill="1" applyBorder="1" applyAlignment="1" applyProtection="1">
      <alignment horizontal="left" vertical="center" wrapText="1" indent="2"/>
    </xf>
    <xf numFmtId="0" fontId="16" fillId="6" borderId="4" xfId="3" applyNumberFormat="1" applyFont="1" applyFill="1" applyBorder="1" applyAlignment="1" applyProtection="1">
      <alignment horizontal="left" vertical="center" wrapText="1"/>
    </xf>
    <xf numFmtId="4" fontId="8" fillId="6" borderId="4" xfId="3" applyNumberFormat="1" applyFont="1" applyFill="1" applyBorder="1" applyAlignment="1">
      <alignment horizontal="right"/>
    </xf>
    <xf numFmtId="4" fontId="16" fillId="2" borderId="4" xfId="3" applyNumberFormat="1" applyFont="1" applyFill="1" applyBorder="1" applyAlignment="1" applyProtection="1">
      <alignment horizontal="right" vertical="center" wrapText="1"/>
    </xf>
    <xf numFmtId="4" fontId="25" fillId="0" borderId="4" xfId="0" applyNumberFormat="1" applyFont="1" applyBorder="1"/>
    <xf numFmtId="4" fontId="6" fillId="0" borderId="0" xfId="3" applyNumberFormat="1" applyFont="1" applyFill="1" applyBorder="1" applyAlignment="1" applyProtection="1">
      <alignment horizontal="right" vertical="center" wrapText="1"/>
    </xf>
    <xf numFmtId="4" fontId="25" fillId="2" borderId="4" xfId="0" applyNumberFormat="1" applyFont="1" applyFill="1" applyBorder="1"/>
    <xf numFmtId="0" fontId="14" fillId="0" borderId="4" xfId="3" quotePrefix="1" applyFont="1" applyBorder="1" applyAlignment="1">
      <alignment horizontal="center" vertical="center" wrapText="1"/>
    </xf>
    <xf numFmtId="0" fontId="9" fillId="0" borderId="0" xfId="2" applyFont="1" applyAlignment="1">
      <alignment wrapText="1"/>
    </xf>
    <xf numFmtId="4" fontId="16" fillId="2" borderId="4" xfId="3" quotePrefix="1" applyNumberFormat="1" applyFont="1" applyFill="1" applyBorder="1" applyAlignment="1">
      <alignment horizontal="right" vertical="center" wrapText="1"/>
    </xf>
    <xf numFmtId="4" fontId="15" fillId="2" borderId="4" xfId="3" applyNumberFormat="1" applyFont="1" applyFill="1" applyBorder="1" applyAlignment="1" applyProtection="1">
      <alignment horizontal="right" vertical="center" wrapText="1"/>
    </xf>
    <xf numFmtId="4" fontId="13" fillId="3" borderId="4" xfId="2" applyNumberFormat="1" applyFont="1" applyFill="1" applyBorder="1" applyAlignment="1">
      <alignment horizontal="right"/>
    </xf>
    <xf numFmtId="4" fontId="13" fillId="0" borderId="4" xfId="2" applyNumberFormat="1" applyFont="1" applyFill="1" applyBorder="1" applyAlignment="1">
      <alignment horizontal="right"/>
    </xf>
    <xf numFmtId="4" fontId="13" fillId="0" borderId="4" xfId="2" applyNumberFormat="1" applyFont="1" applyBorder="1" applyAlignment="1">
      <alignment horizontal="right"/>
    </xf>
    <xf numFmtId="4" fontId="4" fillId="0" borderId="0" xfId="3" applyNumberFormat="1" applyFont="1" applyAlignment="1">
      <alignment horizontal="right"/>
    </xf>
    <xf numFmtId="0" fontId="27" fillId="2" borderId="4" xfId="3" applyNumberFormat="1" applyFont="1" applyFill="1" applyBorder="1" applyAlignment="1" applyProtection="1">
      <alignment horizontal="left" vertical="center" wrapText="1"/>
    </xf>
    <xf numFmtId="3" fontId="14" fillId="3" borderId="4" xfId="3" quotePrefix="1" applyNumberFormat="1" applyFont="1" applyFill="1" applyBorder="1" applyAlignment="1">
      <alignment horizontal="center" vertical="center" wrapText="1"/>
    </xf>
    <xf numFmtId="4" fontId="28" fillId="2" borderId="4" xfId="0" applyNumberFormat="1" applyFont="1" applyFill="1" applyBorder="1" applyAlignment="1">
      <alignment horizontal="right"/>
    </xf>
    <xf numFmtId="4" fontId="0" fillId="0" borderId="0" xfId="0" applyNumberFormat="1"/>
    <xf numFmtId="4" fontId="28" fillId="2" borderId="4" xfId="3" applyNumberFormat="1" applyFont="1" applyFill="1" applyBorder="1" applyAlignment="1">
      <alignment horizontal="right"/>
    </xf>
    <xf numFmtId="0" fontId="15" fillId="0" borderId="4" xfId="3" applyNumberFormat="1" applyFont="1" applyFill="1" applyBorder="1" applyAlignment="1" applyProtection="1">
      <alignment horizontal="left" vertical="center" wrapText="1"/>
    </xf>
    <xf numFmtId="0" fontId="16" fillId="0" borderId="4" xfId="3" quotePrefix="1" applyFont="1" applyFill="1" applyBorder="1" applyAlignment="1">
      <alignment horizontal="left" vertical="center" wrapText="1"/>
    </xf>
    <xf numFmtId="0" fontId="14" fillId="0" borderId="4" xfId="3" quotePrefix="1" applyFont="1" applyBorder="1" applyAlignment="1">
      <alignment horizontal="center" vertical="center" wrapText="1"/>
    </xf>
    <xf numFmtId="0" fontId="21" fillId="0" borderId="4" xfId="3" applyFont="1" applyBorder="1" applyAlignment="1">
      <alignment horizontal="center"/>
    </xf>
    <xf numFmtId="0" fontId="16" fillId="4" borderId="4" xfId="3" applyNumberFormat="1" applyFont="1" applyFill="1" applyBorder="1" applyAlignment="1" applyProtection="1">
      <alignment horizontal="left" vertical="center" wrapText="1" indent="2"/>
    </xf>
    <xf numFmtId="0" fontId="16" fillId="4" borderId="4" xfId="3" applyNumberFormat="1" applyFont="1" applyFill="1" applyBorder="1" applyAlignment="1" applyProtection="1">
      <alignment horizontal="left" vertical="center" wrapText="1"/>
    </xf>
    <xf numFmtId="4" fontId="8" fillId="4" borderId="4" xfId="3" applyNumberFormat="1" applyFont="1" applyFill="1" applyBorder="1" applyAlignment="1">
      <alignment horizontal="right"/>
    </xf>
    <xf numFmtId="0" fontId="29" fillId="0" borderId="0" xfId="3" applyNumberFormat="1" applyFont="1" applyFill="1" applyBorder="1" applyAlignment="1" applyProtection="1">
      <alignment horizontal="right" vertical="center" wrapText="1"/>
    </xf>
    <xf numFmtId="0" fontId="30" fillId="4" borderId="4" xfId="3" applyNumberFormat="1" applyFont="1" applyFill="1" applyBorder="1" applyAlignment="1" applyProtection="1">
      <alignment horizontal="left" vertical="center" wrapText="1" indent="2"/>
    </xf>
    <xf numFmtId="0" fontId="30" fillId="4" borderId="4" xfId="3" applyNumberFormat="1" applyFont="1" applyFill="1" applyBorder="1" applyAlignment="1" applyProtection="1">
      <alignment horizontal="left" vertical="center" wrapText="1"/>
    </xf>
    <xf numFmtId="4" fontId="26" fillId="4" borderId="4" xfId="3" applyNumberFormat="1" applyFont="1" applyFill="1" applyBorder="1" applyAlignment="1">
      <alignment horizontal="right"/>
    </xf>
    <xf numFmtId="0" fontId="31" fillId="0" borderId="0" xfId="3" applyFont="1"/>
    <xf numFmtId="4" fontId="31" fillId="0" borderId="0" xfId="3" applyNumberFormat="1" applyFont="1"/>
    <xf numFmtId="0" fontId="15" fillId="9" borderId="4" xfId="3" applyNumberFormat="1" applyFont="1" applyFill="1" applyBorder="1" applyAlignment="1" applyProtection="1">
      <alignment horizontal="left" vertical="center" wrapText="1"/>
    </xf>
    <xf numFmtId="4" fontId="26" fillId="9" borderId="4" xfId="3" applyNumberFormat="1" applyFont="1" applyFill="1" applyBorder="1" applyAlignment="1">
      <alignment horizontal="right"/>
    </xf>
    <xf numFmtId="4" fontId="26" fillId="2" borderId="4" xfId="3" applyNumberFormat="1" applyFont="1" applyFill="1" applyBorder="1" applyAlignment="1">
      <alignment horizontal="right"/>
    </xf>
    <xf numFmtId="4" fontId="5" fillId="0" borderId="0" xfId="3" applyNumberFormat="1" applyFont="1" applyFill="1" applyBorder="1" applyAlignment="1" applyProtection="1">
      <alignment vertical="center" wrapText="1"/>
    </xf>
    <xf numFmtId="4" fontId="14" fillId="3" borderId="4" xfId="3" quotePrefix="1" applyNumberFormat="1" applyFont="1" applyFill="1" applyBorder="1" applyAlignment="1">
      <alignment horizontal="center" vertical="center" wrapText="1"/>
    </xf>
    <xf numFmtId="0" fontId="33" fillId="10" borderId="4" xfId="3" applyNumberFormat="1" applyFont="1" applyFill="1" applyBorder="1" applyAlignment="1" applyProtection="1">
      <alignment horizontal="left" vertical="center" wrapText="1" indent="4"/>
    </xf>
    <xf numFmtId="0" fontId="33" fillId="10" borderId="4" xfId="3" applyNumberFormat="1" applyFont="1" applyFill="1" applyBorder="1" applyAlignment="1" applyProtection="1">
      <alignment horizontal="left" vertical="center" wrapText="1"/>
    </xf>
    <xf numFmtId="4" fontId="33" fillId="10" borderId="4" xfId="3" applyNumberFormat="1" applyFont="1" applyFill="1" applyBorder="1" applyAlignment="1">
      <alignment horizontal="right"/>
    </xf>
    <xf numFmtId="0" fontId="32" fillId="0" borderId="0" xfId="3" applyFont="1"/>
    <xf numFmtId="0" fontId="5" fillId="0" borderId="0" xfId="2" applyNumberFormat="1" applyFont="1" applyFill="1" applyBorder="1" applyAlignment="1" applyProtection="1">
      <alignment horizontal="center" vertical="center" wrapText="1"/>
    </xf>
    <xf numFmtId="0" fontId="9" fillId="0" borderId="0" xfId="2" applyFont="1" applyAlignment="1">
      <alignment wrapText="1"/>
    </xf>
    <xf numFmtId="0" fontId="14" fillId="0" borderId="4" xfId="3" quotePrefix="1" applyFont="1" applyBorder="1" applyAlignment="1">
      <alignment horizontal="center" vertical="center" wrapText="1"/>
    </xf>
    <xf numFmtId="0" fontId="13" fillId="0" borderId="2" xfId="2" quotePrefix="1" applyFont="1" applyBorder="1" applyAlignment="1">
      <alignment horizontal="center" vertical="center" wrapText="1"/>
    </xf>
    <xf numFmtId="0" fontId="13" fillId="0" borderId="3" xfId="2" quotePrefix="1" applyFont="1" applyBorder="1" applyAlignment="1">
      <alignment horizontal="center" vertical="center" wrapText="1"/>
    </xf>
    <xf numFmtId="0" fontId="13" fillId="0" borderId="5" xfId="2" quotePrefix="1" applyFont="1" applyBorder="1" applyAlignment="1">
      <alignment horizontal="center" vertical="center" wrapText="1"/>
    </xf>
    <xf numFmtId="0" fontId="15" fillId="4" borderId="2" xfId="2" applyNumberFormat="1" applyFont="1" applyFill="1" applyBorder="1" applyAlignment="1" applyProtection="1">
      <alignment horizontal="left" vertical="center" wrapText="1"/>
    </xf>
    <xf numFmtId="0" fontId="15" fillId="4" borderId="3" xfId="2" applyNumberFormat="1" applyFont="1" applyFill="1" applyBorder="1" applyAlignment="1" applyProtection="1">
      <alignment horizontal="left" vertical="center" wrapText="1"/>
    </xf>
    <xf numFmtId="0" fontId="15" fillId="4" borderId="5" xfId="2" applyNumberFormat="1" applyFont="1" applyFill="1" applyBorder="1" applyAlignment="1" applyProtection="1">
      <alignment horizontal="left" vertical="center" wrapText="1"/>
    </xf>
    <xf numFmtId="0" fontId="15" fillId="0" borderId="2" xfId="2" quotePrefix="1" applyFont="1" applyBorder="1" applyAlignment="1">
      <alignment horizontal="left" vertical="center"/>
    </xf>
    <xf numFmtId="0" fontId="16" fillId="0" borderId="3" xfId="2" applyNumberFormat="1" applyFont="1" applyFill="1" applyBorder="1" applyAlignment="1" applyProtection="1">
      <alignment vertical="center"/>
    </xf>
    <xf numFmtId="0" fontId="15" fillId="3" borderId="2" xfId="2" quotePrefix="1" applyNumberFormat="1" applyFont="1" applyFill="1" applyBorder="1" applyAlignment="1" applyProtection="1">
      <alignment horizontal="left" vertical="center" wrapText="1"/>
    </xf>
    <xf numFmtId="0" fontId="16" fillId="3" borderId="3" xfId="2" applyNumberFormat="1" applyFont="1" applyFill="1" applyBorder="1" applyAlignment="1" applyProtection="1">
      <alignment vertical="center" wrapText="1"/>
    </xf>
    <xf numFmtId="0" fontId="15" fillId="0" borderId="2" xfId="2" applyNumberFormat="1" applyFont="1" applyFill="1" applyBorder="1" applyAlignment="1" applyProtection="1">
      <alignment horizontal="left" vertical="center" wrapText="1"/>
    </xf>
    <xf numFmtId="0" fontId="16" fillId="0" borderId="3" xfId="2" applyNumberFormat="1" applyFont="1" applyFill="1" applyBorder="1" applyAlignment="1" applyProtection="1">
      <alignment vertical="center" wrapText="1"/>
    </xf>
    <xf numFmtId="0" fontId="15" fillId="0" borderId="2" xfId="2" quotePrefix="1" applyFont="1" applyFill="1" applyBorder="1" applyAlignment="1">
      <alignment horizontal="left" vertical="center"/>
    </xf>
    <xf numFmtId="0" fontId="15" fillId="0" borderId="2" xfId="2" quotePrefix="1" applyNumberFormat="1" applyFont="1" applyFill="1" applyBorder="1" applyAlignment="1" applyProtection="1">
      <alignment horizontal="left" vertical="center" wrapText="1"/>
    </xf>
    <xf numFmtId="0" fontId="13" fillId="0" borderId="2" xfId="3" quotePrefix="1" applyFont="1" applyBorder="1" applyAlignment="1">
      <alignment horizontal="center" vertical="center" wrapText="1"/>
    </xf>
    <xf numFmtId="0" fontId="13" fillId="0" borderId="3" xfId="3" quotePrefix="1" applyFont="1" applyBorder="1" applyAlignment="1">
      <alignment horizontal="center" vertical="center" wrapText="1"/>
    </xf>
    <xf numFmtId="0" fontId="7" fillId="0" borderId="0" xfId="2" applyNumberFormat="1" applyFont="1" applyFill="1" applyBorder="1" applyAlignment="1" applyProtection="1">
      <alignment vertical="center" wrapText="1"/>
    </xf>
    <xf numFmtId="0" fontId="15" fillId="3" borderId="2" xfId="2" applyNumberFormat="1" applyFont="1" applyFill="1" applyBorder="1" applyAlignment="1" applyProtection="1">
      <alignment horizontal="left" vertical="center" wrapText="1"/>
    </xf>
    <xf numFmtId="0" fontId="16" fillId="3" borderId="3" xfId="2" applyNumberFormat="1" applyFont="1" applyFill="1" applyBorder="1" applyAlignment="1" applyProtection="1">
      <alignment vertical="center"/>
    </xf>
    <xf numFmtId="0" fontId="15" fillId="3" borderId="3" xfId="2" applyNumberFormat="1" applyFont="1" applyFill="1" applyBorder="1" applyAlignment="1" applyProtection="1">
      <alignment horizontal="left" vertical="center" wrapText="1"/>
    </xf>
    <xf numFmtId="0" fontId="15" fillId="3" borderId="5" xfId="2" applyNumberFormat="1" applyFont="1" applyFill="1" applyBorder="1" applyAlignment="1" applyProtection="1">
      <alignment horizontal="left" vertical="center" wrapText="1"/>
    </xf>
    <xf numFmtId="0" fontId="17" fillId="0" borderId="0" xfId="2" applyNumberFormat="1" applyFont="1" applyFill="1" applyBorder="1" applyAlignment="1" applyProtection="1">
      <alignment horizontal="center" vertical="center" wrapText="1"/>
    </xf>
    <xf numFmtId="0" fontId="4" fillId="0" borderId="3" xfId="2" applyFont="1" applyBorder="1" applyAlignment="1">
      <alignment horizontal="left" vertical="center" wrapText="1"/>
    </xf>
    <xf numFmtId="0" fontId="4" fillId="0" borderId="5" xfId="2" applyFont="1" applyBorder="1" applyAlignment="1">
      <alignment horizontal="left" vertical="center" wrapText="1"/>
    </xf>
    <xf numFmtId="0" fontId="5" fillId="0" borderId="0" xfId="3" applyNumberFormat="1" applyFont="1" applyFill="1" applyBorder="1" applyAlignment="1" applyProtection="1">
      <alignment horizontal="center" vertical="center" wrapText="1"/>
    </xf>
    <xf numFmtId="0" fontId="9" fillId="0" borderId="0" xfId="3" applyFont="1" applyAlignment="1">
      <alignment wrapText="1"/>
    </xf>
  </cellXfs>
  <cellStyles count="4">
    <cellStyle name="Normal" xfId="0" builtinId="0"/>
    <cellStyle name="Normalno 2" xfId="1" xr:uid="{00000000-0005-0000-0000-000001000000}"/>
    <cellStyle name="Normalno 2 2" xfId="3" xr:uid="{00000000-0005-0000-0000-000002000000}"/>
    <cellStyle name="Normalno 3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3"/>
  <sheetViews>
    <sheetView zoomScale="85" zoomScaleNormal="85" workbookViewId="0">
      <selection activeCell="G15" sqref="G15"/>
    </sheetView>
  </sheetViews>
  <sheetFormatPr defaultColWidth="8.85546875" defaultRowHeight="15" x14ac:dyDescent="0.25"/>
  <cols>
    <col min="1" max="4" width="8.85546875" style="1"/>
    <col min="5" max="5" width="25.28515625" style="1" customWidth="1"/>
    <col min="6" max="6" width="15.5703125" style="1" customWidth="1"/>
    <col min="7" max="9" width="19.42578125" style="1" customWidth="1"/>
    <col min="10" max="10" width="15" style="1" customWidth="1"/>
    <col min="11" max="11" width="25.28515625" style="1" customWidth="1"/>
    <col min="12" max="16384" width="8.85546875" style="1"/>
  </cols>
  <sheetData>
    <row r="1" spans="1:11" ht="15.75" x14ac:dyDescent="0.25">
      <c r="A1" s="56"/>
    </row>
    <row r="2" spans="1:11" s="2" customFormat="1" ht="51" customHeight="1" x14ac:dyDescent="0.25">
      <c r="A2" s="129" t="s">
        <v>288</v>
      </c>
      <c r="B2" s="129"/>
      <c r="C2" s="129"/>
      <c r="D2" s="129"/>
      <c r="E2" s="129"/>
      <c r="F2" s="129"/>
      <c r="G2" s="129"/>
      <c r="H2" s="129"/>
      <c r="I2" s="129"/>
    </row>
    <row r="3" spans="1:11" s="2" customFormat="1" ht="18" customHeight="1" x14ac:dyDescent="0.25">
      <c r="A3" s="3"/>
      <c r="B3" s="3"/>
      <c r="C3" s="3"/>
      <c r="D3" s="3"/>
      <c r="E3" s="3"/>
      <c r="F3" s="3"/>
      <c r="G3" s="3"/>
      <c r="H3" s="3"/>
      <c r="I3" s="3"/>
    </row>
    <row r="4" spans="1:11" s="2" customFormat="1" ht="15.75" x14ac:dyDescent="0.25">
      <c r="A4" s="129" t="s">
        <v>0</v>
      </c>
      <c r="B4" s="129"/>
      <c r="C4" s="129"/>
      <c r="D4" s="129"/>
      <c r="E4" s="129"/>
      <c r="F4" s="129"/>
      <c r="G4" s="129"/>
      <c r="H4" s="148"/>
      <c r="I4" s="148"/>
    </row>
    <row r="5" spans="1:11" s="2" customFormat="1" ht="18.75" x14ac:dyDescent="0.25">
      <c r="A5" s="3"/>
      <c r="B5" s="3"/>
      <c r="C5" s="3"/>
      <c r="D5" s="3"/>
      <c r="E5" s="3"/>
      <c r="F5" s="3"/>
      <c r="G5" s="3"/>
      <c r="H5" s="4"/>
      <c r="I5" s="4"/>
    </row>
    <row r="6" spans="1:11" s="2" customFormat="1" ht="18" customHeight="1" x14ac:dyDescent="0.25">
      <c r="A6" s="129" t="s">
        <v>14</v>
      </c>
      <c r="B6" s="130"/>
      <c r="C6" s="130"/>
      <c r="D6" s="130"/>
      <c r="E6" s="130"/>
      <c r="F6" s="130"/>
      <c r="G6" s="130"/>
      <c r="H6" s="130"/>
      <c r="I6" s="130"/>
    </row>
    <row r="7" spans="1:11" s="2" customFormat="1" ht="18.75" x14ac:dyDescent="0.3">
      <c r="A7" s="5"/>
      <c r="B7" s="6"/>
      <c r="C7" s="6"/>
      <c r="D7" s="6"/>
      <c r="E7" s="7"/>
      <c r="F7" s="8"/>
      <c r="G7" s="8"/>
      <c r="H7" s="8"/>
      <c r="I7" s="9"/>
    </row>
    <row r="8" spans="1:11" s="2" customFormat="1" ht="52.5" customHeight="1" x14ac:dyDescent="0.25">
      <c r="A8" s="146" t="s">
        <v>12</v>
      </c>
      <c r="B8" s="147"/>
      <c r="C8" s="147"/>
      <c r="D8" s="147"/>
      <c r="E8" s="147"/>
      <c r="F8" s="62" t="s">
        <v>73</v>
      </c>
      <c r="G8" s="62" t="s">
        <v>284</v>
      </c>
      <c r="H8" s="62" t="s">
        <v>282</v>
      </c>
      <c r="I8" s="63" t="s">
        <v>285</v>
      </c>
      <c r="J8" s="63" t="s">
        <v>276</v>
      </c>
      <c r="K8" s="63" t="s">
        <v>276</v>
      </c>
    </row>
    <row r="9" spans="1:11" s="32" customFormat="1" ht="12" customHeight="1" x14ac:dyDescent="0.25">
      <c r="A9" s="131">
        <v>1</v>
      </c>
      <c r="B9" s="131"/>
      <c r="C9" s="131"/>
      <c r="D9" s="131"/>
      <c r="E9" s="131"/>
      <c r="F9" s="64">
        <v>2</v>
      </c>
      <c r="G9" s="94">
        <v>3</v>
      </c>
      <c r="H9" s="65">
        <v>4</v>
      </c>
      <c r="I9" s="65">
        <v>5</v>
      </c>
      <c r="J9" s="65" t="s">
        <v>293</v>
      </c>
      <c r="K9" s="110" t="s">
        <v>294</v>
      </c>
    </row>
    <row r="10" spans="1:11" s="2" customFormat="1" x14ac:dyDescent="0.25">
      <c r="A10" s="149" t="s">
        <v>3</v>
      </c>
      <c r="B10" s="141"/>
      <c r="C10" s="141"/>
      <c r="D10" s="141"/>
      <c r="E10" s="150"/>
      <c r="F10" s="98">
        <f>F11+F12</f>
        <v>1451328.32</v>
      </c>
      <c r="G10" s="98">
        <f t="shared" ref="G10:H10" si="0">G11+G12</f>
        <v>1660647</v>
      </c>
      <c r="H10" s="98">
        <f t="shared" si="0"/>
        <v>2502057</v>
      </c>
      <c r="I10" s="98">
        <f>SUM(I11:I12)</f>
        <v>1491358.9000000004</v>
      </c>
      <c r="J10" s="98">
        <f>I10/F10*100</f>
        <v>102.75820291303903</v>
      </c>
      <c r="K10" s="98">
        <f>I10/H10*100</f>
        <v>59.605312748670414</v>
      </c>
    </row>
    <row r="11" spans="1:11" s="2" customFormat="1" x14ac:dyDescent="0.25">
      <c r="A11" s="142" t="s">
        <v>1</v>
      </c>
      <c r="B11" s="143"/>
      <c r="C11" s="143"/>
      <c r="D11" s="143"/>
      <c r="E11" s="139"/>
      <c r="F11" s="99">
        <f>' Račun prihoda i rashoda'!C9</f>
        <v>1451328.32</v>
      </c>
      <c r="G11" s="99">
        <v>1660647</v>
      </c>
      <c r="H11" s="99">
        <f>' Račun prihoda i rashoda'!E9</f>
        <v>2502057</v>
      </c>
      <c r="I11" s="99">
        <f>' Račun prihoda i rashoda'!F9</f>
        <v>1491358.9000000004</v>
      </c>
      <c r="J11" s="99">
        <f t="shared" ref="J11:J16" si="1">I11/F11*100</f>
        <v>102.75820291303903</v>
      </c>
      <c r="K11" s="99">
        <f t="shared" ref="K11:K16" si="2">I11/H11*100</f>
        <v>59.605312748670414</v>
      </c>
    </row>
    <row r="12" spans="1:11" s="2" customFormat="1" x14ac:dyDescent="0.25">
      <c r="A12" s="144" t="s">
        <v>2</v>
      </c>
      <c r="B12" s="139"/>
      <c r="C12" s="139"/>
      <c r="D12" s="139"/>
      <c r="E12" s="139"/>
      <c r="F12" s="99"/>
      <c r="G12" s="99"/>
      <c r="H12" s="99">
        <v>0</v>
      </c>
      <c r="I12" s="99"/>
      <c r="J12" s="99"/>
      <c r="K12" s="99"/>
    </row>
    <row r="13" spans="1:11" s="2" customFormat="1" x14ac:dyDescent="0.25">
      <c r="A13" s="11" t="s">
        <v>6</v>
      </c>
      <c r="B13" s="30"/>
      <c r="C13" s="30"/>
      <c r="D13" s="30"/>
      <c r="E13" s="30"/>
      <c r="F13" s="98">
        <f>F14+F15</f>
        <v>1389265.32</v>
      </c>
      <c r="G13" s="98">
        <f t="shared" ref="G13:H13" si="3">G14+G15</f>
        <v>1660647</v>
      </c>
      <c r="H13" s="98">
        <f t="shared" si="3"/>
        <v>2472633.91</v>
      </c>
      <c r="I13" s="98">
        <f>SUM(I14:I15)</f>
        <v>1603276.9899999998</v>
      </c>
      <c r="J13" s="98">
        <f t="shared" si="1"/>
        <v>115.40466510745404</v>
      </c>
      <c r="K13" s="98">
        <f t="shared" si="2"/>
        <v>64.840855879065401</v>
      </c>
    </row>
    <row r="14" spans="1:11" s="2" customFormat="1" x14ac:dyDescent="0.25">
      <c r="A14" s="145" t="s">
        <v>4</v>
      </c>
      <c r="B14" s="143"/>
      <c r="C14" s="143"/>
      <c r="D14" s="143"/>
      <c r="E14" s="143"/>
      <c r="F14" s="99">
        <f>' Račun prihoda i rashoda'!C46</f>
        <v>1316528.32</v>
      </c>
      <c r="G14" s="99">
        <v>1515381.36</v>
      </c>
      <c r="H14" s="99">
        <f>' Račun prihoda i rashoda'!E46</f>
        <v>1660120.87</v>
      </c>
      <c r="I14" s="99">
        <f>' Račun prihoda i rashoda'!F46</f>
        <v>1569374.2199999997</v>
      </c>
      <c r="J14" s="99">
        <f t="shared" si="1"/>
        <v>119.20550406390041</v>
      </c>
      <c r="K14" s="99">
        <f t="shared" si="2"/>
        <v>94.533732354078509</v>
      </c>
    </row>
    <row r="15" spans="1:11" s="2" customFormat="1" x14ac:dyDescent="0.25">
      <c r="A15" s="138" t="s">
        <v>5</v>
      </c>
      <c r="B15" s="139"/>
      <c r="C15" s="139"/>
      <c r="D15" s="139"/>
      <c r="E15" s="139"/>
      <c r="F15" s="100">
        <f>' Račun prihoda i rashoda'!C98</f>
        <v>72737</v>
      </c>
      <c r="G15" s="100">
        <v>145265.64000000001</v>
      </c>
      <c r="H15" s="100">
        <f>' Račun prihoda i rashoda'!E98</f>
        <v>812513.04</v>
      </c>
      <c r="I15" s="99">
        <f>' Račun prihoda i rashoda'!F98</f>
        <v>33902.769999999997</v>
      </c>
      <c r="J15" s="99">
        <f t="shared" si="1"/>
        <v>46.610074652515223</v>
      </c>
      <c r="K15" s="99">
        <f t="shared" si="2"/>
        <v>4.1725816486588316</v>
      </c>
    </row>
    <row r="16" spans="1:11" s="2" customFormat="1" x14ac:dyDescent="0.25">
      <c r="A16" s="140" t="s">
        <v>7</v>
      </c>
      <c r="B16" s="141"/>
      <c r="C16" s="141"/>
      <c r="D16" s="141"/>
      <c r="E16" s="141"/>
      <c r="F16" s="98">
        <f>F10-F13</f>
        <v>62063</v>
      </c>
      <c r="G16" s="98">
        <f>G10-G13</f>
        <v>0</v>
      </c>
      <c r="H16" s="98">
        <f>H10-H13</f>
        <v>29423.089999999851</v>
      </c>
      <c r="I16" s="98">
        <f>I10-I13</f>
        <v>-111918.08999999939</v>
      </c>
      <c r="J16" s="98">
        <f t="shared" si="1"/>
        <v>-180.32981003174095</v>
      </c>
      <c r="K16" s="98">
        <f t="shared" si="2"/>
        <v>-380.37503878756434</v>
      </c>
    </row>
    <row r="17" spans="1:11" s="2" customFormat="1" ht="18.75" x14ac:dyDescent="0.25">
      <c r="A17" s="3"/>
      <c r="B17" s="14"/>
      <c r="C17" s="14"/>
      <c r="D17" s="14"/>
      <c r="E17" s="14"/>
      <c r="F17" s="14"/>
      <c r="G17" s="14"/>
      <c r="H17" s="15"/>
      <c r="I17" s="15"/>
    </row>
    <row r="18" spans="1:11" s="2" customFormat="1" ht="18" customHeight="1" x14ac:dyDescent="0.25">
      <c r="A18" s="129" t="s">
        <v>15</v>
      </c>
      <c r="B18" s="130"/>
      <c r="C18" s="130"/>
      <c r="D18" s="130"/>
      <c r="E18" s="130"/>
      <c r="F18" s="130"/>
      <c r="G18" s="130"/>
      <c r="H18" s="130"/>
      <c r="I18" s="130"/>
    </row>
    <row r="19" spans="1:11" s="2" customFormat="1" ht="18.75" x14ac:dyDescent="0.25">
      <c r="A19" s="3"/>
      <c r="B19" s="14"/>
      <c r="C19" s="14"/>
      <c r="D19" s="14"/>
      <c r="E19" s="14"/>
      <c r="F19" s="14"/>
      <c r="G19" s="14"/>
      <c r="H19" s="15"/>
      <c r="I19" s="15"/>
    </row>
    <row r="20" spans="1:11" s="2" customFormat="1" ht="39" customHeight="1" x14ac:dyDescent="0.25">
      <c r="A20" s="146" t="s">
        <v>12</v>
      </c>
      <c r="B20" s="147"/>
      <c r="C20" s="147"/>
      <c r="D20" s="147"/>
      <c r="E20" s="147"/>
      <c r="F20" s="62" t="s">
        <v>73</v>
      </c>
      <c r="G20" s="62" t="s">
        <v>275</v>
      </c>
      <c r="H20" s="62" t="s">
        <v>282</v>
      </c>
      <c r="I20" s="63" t="s">
        <v>285</v>
      </c>
      <c r="J20" s="63" t="s">
        <v>276</v>
      </c>
      <c r="K20" s="63" t="s">
        <v>276</v>
      </c>
    </row>
    <row r="21" spans="1:11" s="32" customFormat="1" ht="12" customHeight="1" x14ac:dyDescent="0.25">
      <c r="A21" s="131">
        <v>1</v>
      </c>
      <c r="B21" s="131"/>
      <c r="C21" s="131"/>
      <c r="D21" s="131"/>
      <c r="E21" s="131"/>
      <c r="F21" s="109">
        <v>2</v>
      </c>
      <c r="G21" s="109">
        <v>3</v>
      </c>
      <c r="H21" s="65">
        <v>4</v>
      </c>
      <c r="I21" s="65">
        <v>5</v>
      </c>
      <c r="J21" s="65" t="s">
        <v>293</v>
      </c>
      <c r="K21" s="110" t="s">
        <v>294</v>
      </c>
    </row>
    <row r="22" spans="1:11" s="2" customFormat="1" x14ac:dyDescent="0.25">
      <c r="A22" s="138" t="s">
        <v>8</v>
      </c>
      <c r="B22" s="139"/>
      <c r="C22" s="139"/>
      <c r="D22" s="139"/>
      <c r="E22" s="139"/>
      <c r="F22" s="13"/>
      <c r="G22" s="13"/>
      <c r="H22" s="13"/>
      <c r="I22" s="12"/>
      <c r="J22" s="12"/>
      <c r="K22" s="12"/>
    </row>
    <row r="23" spans="1:11" s="2" customFormat="1" x14ac:dyDescent="0.25">
      <c r="A23" s="138" t="s">
        <v>9</v>
      </c>
      <c r="B23" s="139"/>
      <c r="C23" s="139"/>
      <c r="D23" s="139"/>
      <c r="E23" s="139"/>
      <c r="F23" s="13"/>
      <c r="G23" s="13"/>
      <c r="H23" s="13"/>
      <c r="I23" s="12"/>
      <c r="J23" s="12"/>
      <c r="K23" s="12"/>
    </row>
    <row r="24" spans="1:11" s="2" customFormat="1" x14ac:dyDescent="0.25">
      <c r="A24" s="140" t="s">
        <v>10</v>
      </c>
      <c r="B24" s="141"/>
      <c r="C24" s="141"/>
      <c r="D24" s="141"/>
      <c r="E24" s="141"/>
      <c r="F24" s="10">
        <f>F22-F23</f>
        <v>0</v>
      </c>
      <c r="G24" s="10">
        <f>G22-G23</f>
        <v>0</v>
      </c>
      <c r="H24" s="10">
        <f t="shared" ref="H24:I24" si="4">H22-H23</f>
        <v>0</v>
      </c>
      <c r="I24" s="10">
        <f t="shared" si="4"/>
        <v>0</v>
      </c>
      <c r="J24" s="10"/>
      <c r="K24" s="10"/>
    </row>
    <row r="25" spans="1:11" s="2" customFormat="1" x14ac:dyDescent="0.25">
      <c r="A25" s="140" t="s">
        <v>11</v>
      </c>
      <c r="B25" s="141"/>
      <c r="C25" s="141"/>
      <c r="D25" s="141"/>
      <c r="E25" s="141"/>
      <c r="F25" s="10">
        <f>F16+F24</f>
        <v>62063</v>
      </c>
      <c r="G25" s="10">
        <f>G16+G24</f>
        <v>0</v>
      </c>
      <c r="H25" s="10">
        <f t="shared" ref="H25:I25" si="5">H16+H24</f>
        <v>29423.089999999851</v>
      </c>
      <c r="I25" s="10">
        <f t="shared" si="5"/>
        <v>-111918.08999999939</v>
      </c>
      <c r="J25" s="10">
        <f>I25/F25*100</f>
        <v>-180.32981003174095</v>
      </c>
      <c r="K25" s="10">
        <f>I25/H25*100</f>
        <v>-380.37503878756434</v>
      </c>
    </row>
    <row r="26" spans="1:11" s="2" customFormat="1" ht="18.75" x14ac:dyDescent="0.25">
      <c r="A26" s="16"/>
      <c r="B26" s="14"/>
      <c r="C26" s="14"/>
      <c r="D26" s="14"/>
      <c r="E26" s="14"/>
      <c r="F26" s="14"/>
      <c r="G26" s="14"/>
      <c r="H26" s="15"/>
      <c r="I26" s="15"/>
    </row>
    <row r="27" spans="1:11" s="2" customFormat="1" ht="18" customHeight="1" x14ac:dyDescent="0.25">
      <c r="A27" s="129" t="s">
        <v>16</v>
      </c>
      <c r="B27" s="130"/>
      <c r="C27" s="130"/>
      <c r="D27" s="130"/>
      <c r="E27" s="130"/>
      <c r="F27" s="130"/>
      <c r="G27" s="130"/>
      <c r="H27" s="130"/>
      <c r="I27" s="130"/>
    </row>
    <row r="28" spans="1:11" s="2" customFormat="1" ht="18" customHeight="1" x14ac:dyDescent="0.25">
      <c r="A28" s="28"/>
      <c r="B28" s="29"/>
      <c r="C28" s="29"/>
      <c r="D28" s="29"/>
      <c r="E28" s="29"/>
      <c r="F28" s="29"/>
      <c r="G28" s="95"/>
      <c r="H28" s="29"/>
      <c r="I28" s="29"/>
    </row>
    <row r="29" spans="1:11" s="2" customFormat="1" ht="42.75" customHeight="1" x14ac:dyDescent="0.25">
      <c r="A29" s="132" t="s">
        <v>22</v>
      </c>
      <c r="B29" s="133"/>
      <c r="C29" s="133"/>
      <c r="D29" s="133"/>
      <c r="E29" s="134"/>
      <c r="F29" s="62" t="s">
        <v>73</v>
      </c>
      <c r="G29" s="62" t="s">
        <v>275</v>
      </c>
      <c r="H29" s="62" t="s">
        <v>282</v>
      </c>
      <c r="I29" s="63" t="s">
        <v>285</v>
      </c>
      <c r="J29" s="63" t="s">
        <v>276</v>
      </c>
      <c r="K29" s="63" t="s">
        <v>276</v>
      </c>
    </row>
    <row r="30" spans="1:11" s="32" customFormat="1" ht="12" customHeight="1" x14ac:dyDescent="0.25">
      <c r="A30" s="131">
        <v>1</v>
      </c>
      <c r="B30" s="131"/>
      <c r="C30" s="131"/>
      <c r="D30" s="131"/>
      <c r="E30" s="131"/>
      <c r="F30" s="109">
        <v>2</v>
      </c>
      <c r="G30" s="109">
        <v>3</v>
      </c>
      <c r="H30" s="65">
        <v>4</v>
      </c>
      <c r="I30" s="65">
        <v>5</v>
      </c>
      <c r="J30" s="65" t="s">
        <v>293</v>
      </c>
      <c r="K30" s="110" t="s">
        <v>294</v>
      </c>
    </row>
    <row r="31" spans="1:11" s="2" customFormat="1" ht="15" customHeight="1" x14ac:dyDescent="0.25">
      <c r="A31" s="135" t="s">
        <v>17</v>
      </c>
      <c r="B31" s="136"/>
      <c r="C31" s="136"/>
      <c r="D31" s="136"/>
      <c r="E31" s="137"/>
      <c r="F31" s="17">
        <v>0</v>
      </c>
      <c r="G31" s="17"/>
      <c r="H31" s="17">
        <v>0</v>
      </c>
      <c r="I31" s="18">
        <v>0</v>
      </c>
      <c r="J31" s="18"/>
      <c r="K31" s="18"/>
    </row>
    <row r="32" spans="1:11" s="2" customFormat="1" ht="15" customHeight="1" x14ac:dyDescent="0.25">
      <c r="A32" s="140" t="s">
        <v>18</v>
      </c>
      <c r="B32" s="141"/>
      <c r="C32" s="141"/>
      <c r="D32" s="141"/>
      <c r="E32" s="141"/>
      <c r="F32" s="19">
        <f>F25+F31</f>
        <v>62063</v>
      </c>
      <c r="G32" s="19"/>
      <c r="H32" s="19">
        <f t="shared" ref="H32:I32" si="6">H25+H31</f>
        <v>29423.089999999851</v>
      </c>
      <c r="I32" s="20">
        <f t="shared" si="6"/>
        <v>-111918.08999999939</v>
      </c>
      <c r="J32" s="20">
        <f>I32/F32*100</f>
        <v>-180.32981003174095</v>
      </c>
      <c r="K32" s="20">
        <f>I32/H32*100</f>
        <v>-380.37503878756434</v>
      </c>
    </row>
    <row r="33" spans="1:11" s="2" customFormat="1" ht="45" customHeight="1" x14ac:dyDescent="0.25">
      <c r="A33" s="149" t="s">
        <v>19</v>
      </c>
      <c r="B33" s="151"/>
      <c r="C33" s="151"/>
      <c r="D33" s="151"/>
      <c r="E33" s="152"/>
      <c r="F33" s="19">
        <f>F16+F24+F31-F32</f>
        <v>0</v>
      </c>
      <c r="G33" s="19"/>
      <c r="H33" s="19">
        <f t="shared" ref="H33:I33" si="7">H16+H24+H31-H32</f>
        <v>0</v>
      </c>
      <c r="I33" s="20">
        <f t="shared" si="7"/>
        <v>0</v>
      </c>
      <c r="J33" s="20"/>
      <c r="K33" s="20"/>
    </row>
    <row r="34" spans="1:11" s="2" customFormat="1" ht="18" customHeight="1" x14ac:dyDescent="0.25">
      <c r="A34" s="27"/>
      <c r="B34" s="21"/>
      <c r="C34" s="21"/>
      <c r="D34" s="21"/>
      <c r="E34" s="21"/>
      <c r="F34" s="21"/>
      <c r="G34" s="21"/>
      <c r="H34" s="21"/>
      <c r="I34" s="21"/>
    </row>
    <row r="35" spans="1:11" s="2" customFormat="1" ht="18" customHeight="1" x14ac:dyDescent="0.25">
      <c r="A35" s="153" t="s">
        <v>20</v>
      </c>
      <c r="B35" s="153"/>
      <c r="C35" s="153"/>
      <c r="D35" s="153"/>
      <c r="E35" s="153"/>
      <c r="F35" s="153"/>
      <c r="G35" s="153"/>
      <c r="H35" s="153"/>
      <c r="I35" s="153"/>
    </row>
    <row r="36" spans="1:11" s="2" customFormat="1" ht="18.75" x14ac:dyDescent="0.25">
      <c r="A36" s="22"/>
      <c r="B36" s="23"/>
      <c r="C36" s="23"/>
      <c r="D36" s="23"/>
      <c r="E36" s="23"/>
      <c r="F36" s="23"/>
      <c r="G36" s="23"/>
      <c r="H36" s="24"/>
      <c r="I36" s="24"/>
    </row>
    <row r="37" spans="1:11" s="2" customFormat="1" ht="44.25" customHeight="1" x14ac:dyDescent="0.25">
      <c r="A37" s="132" t="s">
        <v>22</v>
      </c>
      <c r="B37" s="133"/>
      <c r="C37" s="133"/>
      <c r="D37" s="133"/>
      <c r="E37" s="134"/>
      <c r="F37" s="62" t="s">
        <v>73</v>
      </c>
      <c r="G37" s="62" t="s">
        <v>275</v>
      </c>
      <c r="H37" s="62" t="s">
        <v>282</v>
      </c>
      <c r="I37" s="63" t="s">
        <v>285</v>
      </c>
      <c r="J37" s="63" t="s">
        <v>276</v>
      </c>
      <c r="K37" s="63" t="s">
        <v>276</v>
      </c>
    </row>
    <row r="38" spans="1:11" s="32" customFormat="1" ht="12" customHeight="1" x14ac:dyDescent="0.25">
      <c r="A38" s="131">
        <v>1</v>
      </c>
      <c r="B38" s="131"/>
      <c r="C38" s="131"/>
      <c r="D38" s="131"/>
      <c r="E38" s="131"/>
      <c r="F38" s="109">
        <v>2</v>
      </c>
      <c r="G38" s="109">
        <v>3</v>
      </c>
      <c r="H38" s="65">
        <v>4</v>
      </c>
      <c r="I38" s="65">
        <v>5</v>
      </c>
      <c r="J38" s="65" t="s">
        <v>293</v>
      </c>
      <c r="K38" s="110" t="s">
        <v>294</v>
      </c>
    </row>
    <row r="39" spans="1:11" s="2" customFormat="1" x14ac:dyDescent="0.25">
      <c r="A39" s="135" t="s">
        <v>17</v>
      </c>
      <c r="B39" s="136"/>
      <c r="C39" s="136"/>
      <c r="D39" s="136"/>
      <c r="E39" s="137"/>
      <c r="F39" s="17">
        <v>0</v>
      </c>
      <c r="G39" s="17"/>
      <c r="H39" s="17" t="e">
        <f>#REF!</f>
        <v>#REF!</v>
      </c>
      <c r="I39" s="18" t="e">
        <f>H42</f>
        <v>#REF!</v>
      </c>
      <c r="J39" s="18"/>
      <c r="K39" s="18"/>
    </row>
    <row r="40" spans="1:11" s="2" customFormat="1" ht="28.5" customHeight="1" x14ac:dyDescent="0.25">
      <c r="A40" s="135" t="s">
        <v>21</v>
      </c>
      <c r="B40" s="136"/>
      <c r="C40" s="136"/>
      <c r="D40" s="136"/>
      <c r="E40" s="137"/>
      <c r="F40" s="17">
        <v>0</v>
      </c>
      <c r="G40" s="17"/>
      <c r="H40" s="17">
        <v>0</v>
      </c>
      <c r="I40" s="18">
        <v>0</v>
      </c>
      <c r="J40" s="18"/>
      <c r="K40" s="18"/>
    </row>
    <row r="41" spans="1:11" s="2" customFormat="1" ht="25.5" customHeight="1" x14ac:dyDescent="0.25">
      <c r="A41" s="135" t="s">
        <v>60</v>
      </c>
      <c r="B41" s="154"/>
      <c r="C41" s="154"/>
      <c r="D41" s="154"/>
      <c r="E41" s="155"/>
      <c r="F41" s="17">
        <v>0</v>
      </c>
      <c r="G41" s="17"/>
      <c r="H41" s="17">
        <v>0</v>
      </c>
      <c r="I41" s="18">
        <v>0</v>
      </c>
      <c r="J41" s="18"/>
      <c r="K41" s="18"/>
    </row>
    <row r="42" spans="1:11" s="2" customFormat="1" ht="15" customHeight="1" x14ac:dyDescent="0.25">
      <c r="A42" s="140" t="s">
        <v>18</v>
      </c>
      <c r="B42" s="141"/>
      <c r="C42" s="141"/>
      <c r="D42" s="141"/>
      <c r="E42" s="141"/>
      <c r="F42" s="25">
        <f>F39-F40+F41</f>
        <v>0</v>
      </c>
      <c r="G42" s="25"/>
      <c r="H42" s="25" t="e">
        <f t="shared" ref="H42:I42" si="8">H39-H40+H41</f>
        <v>#REF!</v>
      </c>
      <c r="I42" s="26" t="e">
        <f t="shared" si="8"/>
        <v>#REF!</v>
      </c>
      <c r="J42" s="26"/>
      <c r="K42" s="26"/>
    </row>
    <row r="43" spans="1:11" ht="9" customHeight="1" x14ac:dyDescent="0.25"/>
  </sheetData>
  <mergeCells count="31">
    <mergeCell ref="A37:E37"/>
    <mergeCell ref="A39:E39"/>
    <mergeCell ref="A40:E40"/>
    <mergeCell ref="A41:E41"/>
    <mergeCell ref="A42:E42"/>
    <mergeCell ref="A38:E38"/>
    <mergeCell ref="A32:E32"/>
    <mergeCell ref="A33:E33"/>
    <mergeCell ref="A35:I35"/>
    <mergeCell ref="A21:E21"/>
    <mergeCell ref="A30:E30"/>
    <mergeCell ref="A2:I2"/>
    <mergeCell ref="A4:I4"/>
    <mergeCell ref="A6:I6"/>
    <mergeCell ref="A8:E8"/>
    <mergeCell ref="A10:E10"/>
    <mergeCell ref="A18:I18"/>
    <mergeCell ref="A9:E9"/>
    <mergeCell ref="A29:E29"/>
    <mergeCell ref="A31:E31"/>
    <mergeCell ref="A22:E22"/>
    <mergeCell ref="A23:E23"/>
    <mergeCell ref="A24:E24"/>
    <mergeCell ref="A25:E25"/>
    <mergeCell ref="A11:E11"/>
    <mergeCell ref="A12:E12"/>
    <mergeCell ref="A14:E14"/>
    <mergeCell ref="A15:E15"/>
    <mergeCell ref="A16:E16"/>
    <mergeCell ref="A20:E20"/>
    <mergeCell ref="A27:I27"/>
  </mergeCells>
  <pageMargins left="0.70866141732283472" right="0.70866141732283472" top="0.74803149606299213" bottom="0.74803149606299213" header="0.31496062992125984" footer="0.31496062992125984"/>
  <pageSetup paperSize="9" scale="75" fitToHeight="0" orientation="landscape" r:id="rId1"/>
  <rowBreaks count="1" manualBreakCount="1">
    <brk id="26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171"/>
  <sheetViews>
    <sheetView topLeftCell="A109" zoomScaleNormal="100" workbookViewId="0">
      <selection activeCell="F145" sqref="F145"/>
    </sheetView>
  </sheetViews>
  <sheetFormatPr defaultColWidth="8.85546875" defaultRowHeight="15" x14ac:dyDescent="0.25"/>
  <cols>
    <col min="1" max="1" width="11.140625" style="32" customWidth="1"/>
    <col min="2" max="2" width="80.5703125" style="32" bestFit="1" customWidth="1"/>
    <col min="3" max="3" width="18.85546875" style="101" customWidth="1"/>
    <col min="4" max="4" width="19.5703125" style="101" customWidth="1"/>
    <col min="5" max="6" width="19.42578125" style="85" customWidth="1"/>
    <col min="7" max="8" width="14.28515625" style="85" customWidth="1"/>
    <col min="9" max="9" width="13" style="32" bestFit="1" customWidth="1"/>
    <col min="10" max="10" width="12.42578125" style="32" bestFit="1" customWidth="1"/>
    <col min="11" max="16384" width="8.85546875" style="32"/>
  </cols>
  <sheetData>
    <row r="1" spans="1:10" ht="18.75" x14ac:dyDescent="0.25">
      <c r="A1" s="56"/>
      <c r="B1" s="31"/>
      <c r="C1" s="92"/>
      <c r="D1" s="92"/>
      <c r="E1" s="75"/>
      <c r="F1" s="75"/>
      <c r="G1" s="75"/>
      <c r="H1" s="75"/>
    </row>
    <row r="2" spans="1:10" ht="15.6" customHeight="1" x14ac:dyDescent="0.25">
      <c r="A2" s="156" t="s">
        <v>27</v>
      </c>
      <c r="B2" s="156"/>
      <c r="C2" s="156"/>
      <c r="D2" s="156"/>
      <c r="E2" s="156"/>
      <c r="F2" s="156"/>
      <c r="G2" s="123"/>
      <c r="H2" s="123"/>
    </row>
    <row r="3" spans="1:10" ht="18.75" x14ac:dyDescent="0.25">
      <c r="A3" s="31"/>
      <c r="B3" s="31"/>
      <c r="C3" s="92"/>
      <c r="D3" s="92"/>
      <c r="E3" s="75"/>
      <c r="F3" s="75"/>
      <c r="G3" s="75"/>
      <c r="H3" s="75"/>
    </row>
    <row r="4" spans="1:10" ht="15.6" customHeight="1" x14ac:dyDescent="0.25">
      <c r="A4" s="156" t="s">
        <v>28</v>
      </c>
      <c r="B4" s="156"/>
      <c r="C4" s="156"/>
      <c r="D4" s="156"/>
      <c r="E4" s="156"/>
      <c r="F4" s="156"/>
      <c r="G4" s="123"/>
      <c r="H4" s="123"/>
    </row>
    <row r="5" spans="1:10" ht="19.5" x14ac:dyDescent="0.25">
      <c r="A5" s="31"/>
      <c r="B5" s="114"/>
      <c r="C5" s="92"/>
      <c r="D5" s="92"/>
      <c r="E5" s="92"/>
      <c r="F5" s="92"/>
      <c r="G5" s="92"/>
      <c r="H5" s="75"/>
      <c r="J5" s="85"/>
    </row>
    <row r="6" spans="1:10" ht="39.75" customHeight="1" x14ac:dyDescent="0.25">
      <c r="A6" s="36" t="s">
        <v>41</v>
      </c>
      <c r="B6" s="37" t="s">
        <v>22</v>
      </c>
      <c r="C6" s="77" t="s">
        <v>73</v>
      </c>
      <c r="D6" s="77" t="s">
        <v>275</v>
      </c>
      <c r="E6" s="77" t="s">
        <v>283</v>
      </c>
      <c r="F6" s="77" t="s">
        <v>286</v>
      </c>
      <c r="G6" s="77" t="s">
        <v>276</v>
      </c>
      <c r="H6" s="77" t="s">
        <v>276</v>
      </c>
    </row>
    <row r="7" spans="1:10" s="40" customFormat="1" x14ac:dyDescent="0.25">
      <c r="A7" s="39">
        <v>1</v>
      </c>
      <c r="B7" s="39">
        <v>2</v>
      </c>
      <c r="C7" s="103">
        <v>3</v>
      </c>
      <c r="D7" s="103">
        <v>4</v>
      </c>
      <c r="E7" s="103">
        <v>5</v>
      </c>
      <c r="F7" s="103">
        <v>6</v>
      </c>
      <c r="G7" s="124" t="s">
        <v>291</v>
      </c>
      <c r="H7" s="124" t="s">
        <v>292</v>
      </c>
      <c r="J7" s="85"/>
    </row>
    <row r="8" spans="1:10" x14ac:dyDescent="0.25">
      <c r="A8" s="41"/>
      <c r="B8" s="41" t="s">
        <v>29</v>
      </c>
      <c r="C8" s="97">
        <f>C9</f>
        <v>1451328.32</v>
      </c>
      <c r="D8" s="97">
        <f t="shared" ref="D8" si="0">D9</f>
        <v>1660647</v>
      </c>
      <c r="E8" s="97">
        <f>E9</f>
        <v>2502057</v>
      </c>
      <c r="F8" s="97">
        <f>F9</f>
        <v>1491358.9000000004</v>
      </c>
      <c r="G8" s="97">
        <f>F8/C8*100</f>
        <v>102.75820291303903</v>
      </c>
      <c r="H8" s="97">
        <f>F8/E8*100</f>
        <v>59.605312748670414</v>
      </c>
    </row>
    <row r="9" spans="1:10" x14ac:dyDescent="0.25">
      <c r="A9" s="120">
        <v>6</v>
      </c>
      <c r="B9" s="120" t="s">
        <v>30</v>
      </c>
      <c r="C9" s="121">
        <f t="shared" ref="C9" si="1">C10+C19+C24+C27+C33</f>
        <v>1451328.32</v>
      </c>
      <c r="D9" s="121">
        <f>D10+D19+D24+D27+D33</f>
        <v>1660647</v>
      </c>
      <c r="E9" s="121">
        <f>E10+E19+E24+E27+E33+E38</f>
        <v>2502057</v>
      </c>
      <c r="F9" s="121">
        <f>F10+F19+F24+F27+F33+F38</f>
        <v>1491358.9000000004</v>
      </c>
      <c r="G9" s="121">
        <f t="shared" ref="G9:G39" si="2">F9/C9*100</f>
        <v>102.75820291303903</v>
      </c>
      <c r="H9" s="121">
        <f t="shared" ref="H9:H40" si="3">F9/E9*100</f>
        <v>59.605312748670414</v>
      </c>
    </row>
    <row r="10" spans="1:10" x14ac:dyDescent="0.25">
      <c r="A10" s="115">
        <v>63</v>
      </c>
      <c r="B10" s="116" t="s">
        <v>31</v>
      </c>
      <c r="C10" s="117">
        <f t="shared" ref="C10" si="4">C11+C13+C16</f>
        <v>82760.990000000005</v>
      </c>
      <c r="D10" s="117">
        <f t="shared" ref="D10" si="5">D11+D13+D16</f>
        <v>63514</v>
      </c>
      <c r="E10" s="117">
        <f t="shared" ref="E10:F10" si="6">E11+E13+E16</f>
        <v>199947.61</v>
      </c>
      <c r="F10" s="117">
        <f t="shared" si="6"/>
        <v>65157.16</v>
      </c>
      <c r="G10" s="117">
        <f t="shared" si="2"/>
        <v>78.729314378670438</v>
      </c>
      <c r="H10" s="117">
        <f t="shared" si="3"/>
        <v>32.587116195087305</v>
      </c>
    </row>
    <row r="11" spans="1:10" x14ac:dyDescent="0.25">
      <c r="A11" s="87">
        <v>632</v>
      </c>
      <c r="B11" s="88" t="s">
        <v>180</v>
      </c>
      <c r="C11" s="89">
        <f t="shared" ref="C11:D11" si="7">C12</f>
        <v>39848.980000000003</v>
      </c>
      <c r="D11" s="89">
        <f t="shared" si="7"/>
        <v>53514</v>
      </c>
      <c r="E11" s="89">
        <f>E12</f>
        <v>178601.16</v>
      </c>
      <c r="F11" s="89">
        <f>F12</f>
        <v>52710.76</v>
      </c>
      <c r="G11" s="89">
        <f t="shared" si="2"/>
        <v>132.276309205405</v>
      </c>
      <c r="H11" s="89">
        <f t="shared" si="3"/>
        <v>29.513111784940254</v>
      </c>
    </row>
    <row r="12" spans="1:10" x14ac:dyDescent="0.25">
      <c r="A12" s="51" t="s">
        <v>164</v>
      </c>
      <c r="B12" s="43" t="s">
        <v>181</v>
      </c>
      <c r="C12" s="90">
        <v>39848.980000000003</v>
      </c>
      <c r="D12" s="90">
        <v>53514</v>
      </c>
      <c r="E12" s="83">
        <v>178601.16</v>
      </c>
      <c r="F12" s="83">
        <f>18449.78+34260.98</f>
        <v>52710.76</v>
      </c>
      <c r="G12" s="83">
        <f t="shared" si="2"/>
        <v>132.276309205405</v>
      </c>
      <c r="H12" s="83">
        <f t="shared" si="3"/>
        <v>29.513111784940254</v>
      </c>
    </row>
    <row r="13" spans="1:10" x14ac:dyDescent="0.25">
      <c r="A13" s="87">
        <v>638</v>
      </c>
      <c r="B13" s="88" t="s">
        <v>182</v>
      </c>
      <c r="C13" s="89">
        <f t="shared" ref="C13:D13" si="8">C14+C15</f>
        <v>42912.01</v>
      </c>
      <c r="D13" s="89">
        <f t="shared" si="8"/>
        <v>10000</v>
      </c>
      <c r="E13" s="89">
        <f t="shared" ref="E13:F13" si="9">E14+E15</f>
        <v>21346.449999999997</v>
      </c>
      <c r="F13" s="89">
        <f t="shared" si="9"/>
        <v>12446.4</v>
      </c>
      <c r="G13" s="89">
        <f t="shared" si="2"/>
        <v>29.004467513873156</v>
      </c>
      <c r="H13" s="89">
        <f t="shared" si="3"/>
        <v>58.306650520344135</v>
      </c>
    </row>
    <row r="14" spans="1:10" x14ac:dyDescent="0.25">
      <c r="A14" s="51" t="s">
        <v>165</v>
      </c>
      <c r="B14" s="43" t="s">
        <v>183</v>
      </c>
      <c r="C14" s="90">
        <v>42912.01</v>
      </c>
      <c r="D14" s="90">
        <v>10000</v>
      </c>
      <c r="E14" s="83">
        <v>21346.449999999997</v>
      </c>
      <c r="F14" s="83">
        <v>12446.4</v>
      </c>
      <c r="G14" s="83">
        <f t="shared" si="2"/>
        <v>29.004467513873156</v>
      </c>
      <c r="H14" s="83">
        <f t="shared" si="3"/>
        <v>58.306650520344135</v>
      </c>
    </row>
    <row r="15" spans="1:10" x14ac:dyDescent="0.25">
      <c r="A15" s="51" t="s">
        <v>166</v>
      </c>
      <c r="B15" s="43" t="s">
        <v>261</v>
      </c>
      <c r="C15" s="90">
        <v>0</v>
      </c>
      <c r="D15" s="90">
        <v>0</v>
      </c>
      <c r="E15" s="83">
        <v>0</v>
      </c>
      <c r="F15" s="83">
        <v>0</v>
      </c>
      <c r="G15" s="83" t="e">
        <f t="shared" si="2"/>
        <v>#DIV/0!</v>
      </c>
      <c r="H15" s="83" t="e">
        <f t="shared" si="3"/>
        <v>#DIV/0!</v>
      </c>
    </row>
    <row r="16" spans="1:10" x14ac:dyDescent="0.25">
      <c r="A16" s="87">
        <v>639</v>
      </c>
      <c r="B16" s="88" t="s">
        <v>262</v>
      </c>
      <c r="C16" s="89">
        <f t="shared" ref="C16:D16" si="10">C17+C18</f>
        <v>0</v>
      </c>
      <c r="D16" s="89">
        <f t="shared" si="10"/>
        <v>0</v>
      </c>
      <c r="E16" s="89">
        <f t="shared" ref="E16:F16" si="11">E17+E18</f>
        <v>0</v>
      </c>
      <c r="F16" s="89">
        <f t="shared" si="11"/>
        <v>0</v>
      </c>
      <c r="G16" s="89" t="e">
        <f t="shared" si="2"/>
        <v>#DIV/0!</v>
      </c>
      <c r="H16" s="89" t="e">
        <f t="shared" si="3"/>
        <v>#DIV/0!</v>
      </c>
    </row>
    <row r="17" spans="1:8" x14ac:dyDescent="0.25">
      <c r="A17" s="51" t="s">
        <v>167</v>
      </c>
      <c r="B17" s="43" t="s">
        <v>263</v>
      </c>
      <c r="C17" s="90">
        <v>0</v>
      </c>
      <c r="D17" s="90">
        <v>0</v>
      </c>
      <c r="E17" s="83">
        <v>0</v>
      </c>
      <c r="F17" s="83">
        <v>0</v>
      </c>
      <c r="G17" s="83" t="e">
        <f t="shared" si="2"/>
        <v>#DIV/0!</v>
      </c>
      <c r="H17" s="83" t="e">
        <f t="shared" si="3"/>
        <v>#DIV/0!</v>
      </c>
    </row>
    <row r="18" spans="1:8" x14ac:dyDescent="0.25">
      <c r="A18" s="51" t="s">
        <v>168</v>
      </c>
      <c r="B18" s="43" t="s">
        <v>264</v>
      </c>
      <c r="C18" s="90">
        <v>0</v>
      </c>
      <c r="D18" s="90">
        <v>0</v>
      </c>
      <c r="E18" s="83">
        <v>0</v>
      </c>
      <c r="F18" s="83">
        <v>0</v>
      </c>
      <c r="G18" s="83" t="e">
        <f t="shared" si="2"/>
        <v>#DIV/0!</v>
      </c>
      <c r="H18" s="83" t="e">
        <f t="shared" si="3"/>
        <v>#DIV/0!</v>
      </c>
    </row>
    <row r="19" spans="1:8" s="118" customFormat="1" ht="14.25" x14ac:dyDescent="0.2">
      <c r="A19" s="115">
        <v>64</v>
      </c>
      <c r="B19" s="116" t="s">
        <v>184</v>
      </c>
      <c r="C19" s="117">
        <f t="shared" ref="C19" si="12">C20+C22</f>
        <v>1700.67</v>
      </c>
      <c r="D19" s="117">
        <f t="shared" ref="D19" si="13">D20+D22</f>
        <v>0</v>
      </c>
      <c r="E19" s="117">
        <f t="shared" ref="E19" si="14">E20+E22</f>
        <v>2000</v>
      </c>
      <c r="F19" s="117">
        <f t="shared" ref="F19" si="15">F20+F22</f>
        <v>3938.01</v>
      </c>
      <c r="G19" s="117">
        <f t="shared" si="2"/>
        <v>231.55638660057508</v>
      </c>
      <c r="H19" s="117">
        <f t="shared" si="3"/>
        <v>196.90050000000002</v>
      </c>
    </row>
    <row r="20" spans="1:8" x14ac:dyDescent="0.25">
      <c r="A20" s="87">
        <v>641</v>
      </c>
      <c r="B20" s="88" t="s">
        <v>185</v>
      </c>
      <c r="C20" s="89">
        <f t="shared" ref="C20:D20" si="16">C21</f>
        <v>0.67</v>
      </c>
      <c r="D20" s="89">
        <f t="shared" si="16"/>
        <v>0</v>
      </c>
      <c r="E20" s="89">
        <f t="shared" ref="E20:F20" si="17">E21</f>
        <v>0</v>
      </c>
      <c r="F20" s="89">
        <f t="shared" si="17"/>
        <v>0.51</v>
      </c>
      <c r="G20" s="89">
        <f t="shared" si="2"/>
        <v>76.119402985074629</v>
      </c>
      <c r="H20" s="89" t="e">
        <f t="shared" si="3"/>
        <v>#DIV/0!</v>
      </c>
    </row>
    <row r="21" spans="1:8" x14ac:dyDescent="0.25">
      <c r="A21" s="51" t="s">
        <v>169</v>
      </c>
      <c r="B21" s="43" t="s">
        <v>186</v>
      </c>
      <c r="C21" s="90">
        <v>0.67</v>
      </c>
      <c r="D21" s="90">
        <v>0</v>
      </c>
      <c r="E21" s="83">
        <v>0</v>
      </c>
      <c r="F21" s="83">
        <v>0.51</v>
      </c>
      <c r="G21" s="83">
        <f t="shared" si="2"/>
        <v>76.119402985074629</v>
      </c>
      <c r="H21" s="83" t="e">
        <f t="shared" si="3"/>
        <v>#DIV/0!</v>
      </c>
    </row>
    <row r="22" spans="1:8" x14ac:dyDescent="0.25">
      <c r="A22" s="87">
        <v>642</v>
      </c>
      <c r="B22" s="88" t="s">
        <v>187</v>
      </c>
      <c r="C22" s="89">
        <f t="shared" ref="C22:D22" si="18">C23</f>
        <v>1700</v>
      </c>
      <c r="D22" s="89">
        <f t="shared" si="18"/>
        <v>0</v>
      </c>
      <c r="E22" s="89">
        <f t="shared" ref="E22:F22" si="19">E23</f>
        <v>2000</v>
      </c>
      <c r="F22" s="89">
        <f t="shared" si="19"/>
        <v>3937.5</v>
      </c>
      <c r="G22" s="89">
        <f t="shared" si="2"/>
        <v>231.61764705882354</v>
      </c>
      <c r="H22" s="89">
        <f t="shared" si="3"/>
        <v>196.875</v>
      </c>
    </row>
    <row r="23" spans="1:8" x14ac:dyDescent="0.25">
      <c r="A23" s="51" t="s">
        <v>170</v>
      </c>
      <c r="B23" s="43" t="s">
        <v>188</v>
      </c>
      <c r="C23" s="90">
        <v>1700</v>
      </c>
      <c r="D23" s="90">
        <v>0</v>
      </c>
      <c r="E23" s="83">
        <v>2000</v>
      </c>
      <c r="F23" s="83">
        <v>3937.5</v>
      </c>
      <c r="G23" s="83">
        <f t="shared" si="2"/>
        <v>231.61764705882354</v>
      </c>
      <c r="H23" s="83">
        <f t="shared" si="3"/>
        <v>196.875</v>
      </c>
    </row>
    <row r="24" spans="1:8" s="118" customFormat="1" ht="14.25" x14ac:dyDescent="0.2">
      <c r="A24" s="115">
        <v>65</v>
      </c>
      <c r="B24" s="116" t="s">
        <v>189</v>
      </c>
      <c r="C24" s="117">
        <f t="shared" ref="C24:D25" si="20">C25</f>
        <v>92978.92</v>
      </c>
      <c r="D24" s="117">
        <f t="shared" si="20"/>
        <v>80000</v>
      </c>
      <c r="E24" s="117">
        <f t="shared" ref="E24:F24" si="21">E25</f>
        <v>102509.92</v>
      </c>
      <c r="F24" s="117">
        <f t="shared" si="21"/>
        <v>105265.67</v>
      </c>
      <c r="G24" s="117">
        <f t="shared" si="2"/>
        <v>113.21455443879107</v>
      </c>
      <c r="H24" s="117">
        <f t="shared" si="3"/>
        <v>102.68827641266327</v>
      </c>
    </row>
    <row r="25" spans="1:8" x14ac:dyDescent="0.25">
      <c r="A25" s="87">
        <v>652</v>
      </c>
      <c r="B25" s="88" t="s">
        <v>190</v>
      </c>
      <c r="C25" s="89">
        <f t="shared" si="20"/>
        <v>92978.92</v>
      </c>
      <c r="D25" s="89">
        <f t="shared" si="20"/>
        <v>80000</v>
      </c>
      <c r="E25" s="89">
        <f t="shared" ref="E25:F25" si="22">E26</f>
        <v>102509.92</v>
      </c>
      <c r="F25" s="89">
        <f t="shared" si="22"/>
        <v>105265.67</v>
      </c>
      <c r="G25" s="89">
        <f t="shared" si="2"/>
        <v>113.21455443879107</v>
      </c>
      <c r="H25" s="89">
        <f t="shared" si="3"/>
        <v>102.68827641266327</v>
      </c>
    </row>
    <row r="26" spans="1:8" x14ac:dyDescent="0.25">
      <c r="A26" s="51" t="s">
        <v>171</v>
      </c>
      <c r="B26" s="43" t="s">
        <v>191</v>
      </c>
      <c r="C26" s="90">
        <v>92978.92</v>
      </c>
      <c r="D26" s="90">
        <v>80000</v>
      </c>
      <c r="E26" s="83">
        <v>102509.92</v>
      </c>
      <c r="F26" s="83">
        <f>88221.2+17044.47</f>
        <v>105265.67</v>
      </c>
      <c r="G26" s="83">
        <f t="shared" si="2"/>
        <v>113.21455443879107</v>
      </c>
      <c r="H26" s="83">
        <f t="shared" si="3"/>
        <v>102.68827641266327</v>
      </c>
    </row>
    <row r="27" spans="1:8" s="118" customFormat="1" ht="14.25" x14ac:dyDescent="0.2">
      <c r="A27" s="115">
        <v>66</v>
      </c>
      <c r="B27" s="116" t="s">
        <v>32</v>
      </c>
      <c r="C27" s="117">
        <f t="shared" ref="C27" si="23">C28+C31</f>
        <v>40374</v>
      </c>
      <c r="D27" s="117">
        <f t="shared" ref="D27" si="24">D28+D31</f>
        <v>72000</v>
      </c>
      <c r="E27" s="117">
        <f>E28+E31</f>
        <v>64130</v>
      </c>
      <c r="F27" s="117">
        <f>F28+F31</f>
        <v>42403.01</v>
      </c>
      <c r="G27" s="117">
        <f t="shared" si="2"/>
        <v>105.02553623619161</v>
      </c>
      <c r="H27" s="117">
        <f t="shared" si="3"/>
        <v>66.120396070481831</v>
      </c>
    </row>
    <row r="28" spans="1:8" x14ac:dyDescent="0.25">
      <c r="A28" s="87">
        <v>661</v>
      </c>
      <c r="B28" s="88" t="s">
        <v>192</v>
      </c>
      <c r="C28" s="89">
        <f>C30+C29</f>
        <v>32374</v>
      </c>
      <c r="D28" s="89">
        <f>D30+D29</f>
        <v>72000</v>
      </c>
      <c r="E28" s="89">
        <f t="shared" ref="E28:F28" si="25">E30</f>
        <v>20000</v>
      </c>
      <c r="F28" s="89">
        <f t="shared" si="25"/>
        <v>17772.650000000001</v>
      </c>
      <c r="G28" s="89">
        <f t="shared" si="2"/>
        <v>54.897911904614816</v>
      </c>
      <c r="H28" s="89">
        <f t="shared" si="3"/>
        <v>88.863250000000008</v>
      </c>
    </row>
    <row r="29" spans="1:8" x14ac:dyDescent="0.25">
      <c r="A29" s="51">
        <v>6611</v>
      </c>
      <c r="B29" s="43" t="s">
        <v>193</v>
      </c>
      <c r="C29" s="90">
        <v>30594</v>
      </c>
      <c r="D29" s="90">
        <v>72000</v>
      </c>
      <c r="E29" s="83">
        <v>0</v>
      </c>
      <c r="F29" s="83">
        <v>0</v>
      </c>
      <c r="G29" s="83">
        <f t="shared" si="2"/>
        <v>0</v>
      </c>
      <c r="H29" s="83" t="e">
        <f t="shared" si="3"/>
        <v>#DIV/0!</v>
      </c>
    </row>
    <row r="30" spans="1:8" x14ac:dyDescent="0.25">
      <c r="A30" s="51" t="s">
        <v>172</v>
      </c>
      <c r="B30" s="43" t="s">
        <v>194</v>
      </c>
      <c r="C30" s="90">
        <v>1780</v>
      </c>
      <c r="D30" s="90">
        <v>0</v>
      </c>
      <c r="E30" s="83">
        <v>20000</v>
      </c>
      <c r="F30" s="83">
        <v>17772.650000000001</v>
      </c>
      <c r="G30" s="83">
        <f t="shared" si="2"/>
        <v>998.46348314606746</v>
      </c>
      <c r="H30" s="83">
        <f t="shared" si="3"/>
        <v>88.863250000000008</v>
      </c>
    </row>
    <row r="31" spans="1:8" x14ac:dyDescent="0.25">
      <c r="A31" s="87">
        <v>663</v>
      </c>
      <c r="B31" s="88" t="s">
        <v>195</v>
      </c>
      <c r="C31" s="89">
        <f t="shared" ref="C31:D31" si="26">C32</f>
        <v>8000</v>
      </c>
      <c r="D31" s="89">
        <f t="shared" si="26"/>
        <v>0</v>
      </c>
      <c r="E31" s="89">
        <f t="shared" ref="E31:F31" si="27">E32</f>
        <v>44130</v>
      </c>
      <c r="F31" s="89">
        <f t="shared" si="27"/>
        <v>24630.36</v>
      </c>
      <c r="G31" s="89">
        <f t="shared" si="2"/>
        <v>307.87950000000001</v>
      </c>
      <c r="H31" s="89">
        <f t="shared" si="3"/>
        <v>55.813188307273961</v>
      </c>
    </row>
    <row r="32" spans="1:8" x14ac:dyDescent="0.25">
      <c r="A32" s="51" t="s">
        <v>173</v>
      </c>
      <c r="B32" s="43" t="s">
        <v>196</v>
      </c>
      <c r="C32" s="90">
        <v>8000</v>
      </c>
      <c r="D32" s="90">
        <v>0</v>
      </c>
      <c r="E32" s="83">
        <v>44130</v>
      </c>
      <c r="F32" s="83">
        <f>16200+8430.36</f>
        <v>24630.36</v>
      </c>
      <c r="G32" s="83">
        <f t="shared" si="2"/>
        <v>307.87950000000001</v>
      </c>
      <c r="H32" s="83">
        <f t="shared" si="3"/>
        <v>55.813188307273961</v>
      </c>
    </row>
    <row r="33" spans="1:10" s="118" customFormat="1" ht="14.25" x14ac:dyDescent="0.2">
      <c r="A33" s="115">
        <v>67</v>
      </c>
      <c r="B33" s="116" t="s">
        <v>197</v>
      </c>
      <c r="C33" s="117">
        <f t="shared" ref="C33:D33" si="28">C34</f>
        <v>1233513.74</v>
      </c>
      <c r="D33" s="117">
        <f t="shared" si="28"/>
        <v>1445133</v>
      </c>
      <c r="E33" s="117">
        <f>E34</f>
        <v>1327100</v>
      </c>
      <c r="F33" s="117">
        <f>F34</f>
        <v>1274595.0500000003</v>
      </c>
      <c r="G33" s="117">
        <f t="shared" si="2"/>
        <v>103.33042986614809</v>
      </c>
      <c r="H33" s="117">
        <f t="shared" si="3"/>
        <v>96.043632733026925</v>
      </c>
    </row>
    <row r="34" spans="1:10" x14ac:dyDescent="0.25">
      <c r="A34" s="87">
        <v>671</v>
      </c>
      <c r="B34" s="88" t="s">
        <v>198</v>
      </c>
      <c r="C34" s="89">
        <f t="shared" ref="C34" si="29">C35+C36</f>
        <v>1233513.74</v>
      </c>
      <c r="D34" s="89">
        <f>D35+D36+D37</f>
        <v>1445133</v>
      </c>
      <c r="E34" s="89">
        <f>E35+E36+E37</f>
        <v>1327100</v>
      </c>
      <c r="F34" s="89">
        <f>F35+F36+F37</f>
        <v>1274595.0500000003</v>
      </c>
      <c r="G34" s="89">
        <f t="shared" si="2"/>
        <v>103.33042986614809</v>
      </c>
      <c r="H34" s="89">
        <f t="shared" si="3"/>
        <v>96.043632733026925</v>
      </c>
    </row>
    <row r="35" spans="1:10" x14ac:dyDescent="0.25">
      <c r="A35" s="51" t="s">
        <v>174</v>
      </c>
      <c r="B35" s="43" t="s">
        <v>199</v>
      </c>
      <c r="C35" s="90">
        <v>1171186.51</v>
      </c>
      <c r="D35" s="90">
        <f>1445133-95265.64</f>
        <v>1349867.36</v>
      </c>
      <c r="E35" s="83">
        <v>1327100</v>
      </c>
      <c r="F35" s="83">
        <f>771122.76+304147.52+26000+32023.34+6963.78</f>
        <v>1140257.4000000001</v>
      </c>
      <c r="G35" s="83">
        <f t="shared" si="2"/>
        <v>97.359164425485062</v>
      </c>
      <c r="H35" s="83">
        <f t="shared" si="3"/>
        <v>85.920985607716077</v>
      </c>
      <c r="I35" s="85"/>
    </row>
    <row r="36" spans="1:10" x14ac:dyDescent="0.25">
      <c r="A36" s="51" t="s">
        <v>175</v>
      </c>
      <c r="B36" s="43" t="s">
        <v>248</v>
      </c>
      <c r="C36" s="90">
        <v>62327.23</v>
      </c>
      <c r="D36" s="90">
        <v>95265.64</v>
      </c>
      <c r="E36" s="83">
        <v>0</v>
      </c>
      <c r="F36" s="83">
        <f>22611.81</f>
        <v>22611.81</v>
      </c>
      <c r="G36" s="83">
        <f t="shared" si="2"/>
        <v>36.279183271902184</v>
      </c>
      <c r="H36" s="83" t="e">
        <f t="shared" si="3"/>
        <v>#DIV/0!</v>
      </c>
    </row>
    <row r="37" spans="1:10" x14ac:dyDescent="0.25">
      <c r="A37" s="51">
        <v>671</v>
      </c>
      <c r="B37" s="43" t="s">
        <v>249</v>
      </c>
      <c r="C37" s="90">
        <v>0</v>
      </c>
      <c r="D37" s="90">
        <v>0</v>
      </c>
      <c r="E37" s="83">
        <v>0</v>
      </c>
      <c r="F37" s="83">
        <f>27854.89+50893.91+7986.68+14223.14+10767.22</f>
        <v>111725.84000000001</v>
      </c>
      <c r="G37" s="83" t="e">
        <f t="shared" si="2"/>
        <v>#DIV/0!</v>
      </c>
      <c r="H37" s="83" t="e">
        <f t="shared" si="3"/>
        <v>#DIV/0!</v>
      </c>
    </row>
    <row r="38" spans="1:10" s="118" customFormat="1" ht="14.25" x14ac:dyDescent="0.2">
      <c r="A38" s="115">
        <v>92</v>
      </c>
      <c r="B38" s="116" t="s">
        <v>278</v>
      </c>
      <c r="C38" s="117">
        <f t="shared" ref="C38:D39" si="30">C39</f>
        <v>0</v>
      </c>
      <c r="D38" s="117">
        <f t="shared" si="30"/>
        <v>0</v>
      </c>
      <c r="E38" s="117">
        <f>E39</f>
        <v>806369.47</v>
      </c>
      <c r="F38" s="117">
        <f>F39</f>
        <v>0</v>
      </c>
      <c r="G38" s="117" t="e">
        <f t="shared" si="2"/>
        <v>#DIV/0!</v>
      </c>
      <c r="H38" s="117">
        <f t="shared" si="3"/>
        <v>0</v>
      </c>
    </row>
    <row r="39" spans="1:10" x14ac:dyDescent="0.25">
      <c r="A39" s="87">
        <v>922</v>
      </c>
      <c r="B39" s="88" t="s">
        <v>279</v>
      </c>
      <c r="C39" s="89">
        <f t="shared" si="30"/>
        <v>0</v>
      </c>
      <c r="D39" s="89">
        <f t="shared" si="30"/>
        <v>0</v>
      </c>
      <c r="E39" s="89">
        <f>E40</f>
        <v>806369.47</v>
      </c>
      <c r="F39" s="89">
        <f>F40</f>
        <v>0</v>
      </c>
      <c r="G39" s="89" t="e">
        <f t="shared" si="2"/>
        <v>#DIV/0!</v>
      </c>
      <c r="H39" s="89">
        <f t="shared" si="3"/>
        <v>0</v>
      </c>
    </row>
    <row r="40" spans="1:10" x14ac:dyDescent="0.25">
      <c r="A40" s="51">
        <v>9221</v>
      </c>
      <c r="B40" s="43" t="s">
        <v>280</v>
      </c>
      <c r="C40" s="90">
        <v>0</v>
      </c>
      <c r="D40" s="90">
        <v>0</v>
      </c>
      <c r="E40" s="83">
        <v>806369.47</v>
      </c>
      <c r="F40" s="83">
        <v>0</v>
      </c>
      <c r="G40" s="83" t="e">
        <f>F40/C40*100</f>
        <v>#DIV/0!</v>
      </c>
      <c r="H40" s="83">
        <f t="shared" si="3"/>
        <v>0</v>
      </c>
    </row>
    <row r="41" spans="1:10" x14ac:dyDescent="0.25">
      <c r="C41" s="32"/>
      <c r="D41" s="32"/>
      <c r="E41" s="32"/>
      <c r="F41" s="32"/>
      <c r="H41" s="97"/>
    </row>
    <row r="42" spans="1:10" x14ac:dyDescent="0.25">
      <c r="C42" s="32"/>
      <c r="D42" s="32"/>
      <c r="E42" s="32"/>
      <c r="F42" s="32"/>
    </row>
    <row r="43" spans="1:10" ht="46.5" customHeight="1" x14ac:dyDescent="0.25">
      <c r="A43" s="36" t="s">
        <v>41</v>
      </c>
      <c r="B43" s="37" t="s">
        <v>22</v>
      </c>
      <c r="C43" s="77" t="s">
        <v>73</v>
      </c>
      <c r="D43" s="77" t="s">
        <v>275</v>
      </c>
      <c r="E43" s="77" t="s">
        <v>283</v>
      </c>
      <c r="F43" s="77" t="s">
        <v>286</v>
      </c>
      <c r="G43" s="77" t="s">
        <v>276</v>
      </c>
      <c r="H43" s="77" t="s">
        <v>276</v>
      </c>
    </row>
    <row r="44" spans="1:10" s="40" customFormat="1" ht="11.25" x14ac:dyDescent="0.2">
      <c r="A44" s="39">
        <v>1</v>
      </c>
      <c r="B44" s="39">
        <v>2</v>
      </c>
      <c r="C44" s="103">
        <v>3</v>
      </c>
      <c r="D44" s="103">
        <v>4</v>
      </c>
      <c r="E44" s="103">
        <v>5</v>
      </c>
      <c r="F44" s="103">
        <v>6</v>
      </c>
      <c r="G44" s="124" t="s">
        <v>291</v>
      </c>
      <c r="H44" s="124" t="s">
        <v>292</v>
      </c>
    </row>
    <row r="45" spans="1:10" x14ac:dyDescent="0.25">
      <c r="A45" s="41"/>
      <c r="B45" s="41" t="s">
        <v>34</v>
      </c>
      <c r="C45" s="97">
        <f>C46+C98</f>
        <v>1389265.32</v>
      </c>
      <c r="D45" s="97">
        <f t="shared" ref="D45" si="31">D46+D98</f>
        <v>1660647</v>
      </c>
      <c r="E45" s="97">
        <f>E46+E98</f>
        <v>2472633.91</v>
      </c>
      <c r="F45" s="97">
        <f>F46+F98</f>
        <v>1603276.9899999998</v>
      </c>
      <c r="G45" s="97">
        <f>F45/C45*100</f>
        <v>115.40466510745404</v>
      </c>
      <c r="H45" s="97">
        <f>F45/E45*100</f>
        <v>64.840855879065401</v>
      </c>
    </row>
    <row r="46" spans="1:10" x14ac:dyDescent="0.25">
      <c r="A46" s="120">
        <v>3</v>
      </c>
      <c r="B46" s="120" t="s">
        <v>35</v>
      </c>
      <c r="C46" s="121">
        <f>C47+C54+C85+C89+C95</f>
        <v>1316528.32</v>
      </c>
      <c r="D46" s="121">
        <f>D47+D54+D85+D89+D95</f>
        <v>1515381.3599999999</v>
      </c>
      <c r="E46" s="121">
        <f>E47+E54+E85+E89+E95</f>
        <v>1660120.87</v>
      </c>
      <c r="F46" s="121">
        <f>F47+F54+F85+F89+F95</f>
        <v>1569374.2199999997</v>
      </c>
      <c r="G46" s="121">
        <f t="shared" ref="G46:G109" si="32">F46/C46*100</f>
        <v>119.20550406390041</v>
      </c>
      <c r="H46" s="121">
        <f t="shared" ref="H46:H109" si="33">F46/E46*100</f>
        <v>94.533732354078509</v>
      </c>
    </row>
    <row r="47" spans="1:10" s="118" customFormat="1" ht="14.25" x14ac:dyDescent="0.2">
      <c r="A47" s="115">
        <v>31</v>
      </c>
      <c r="B47" s="116" t="s">
        <v>36</v>
      </c>
      <c r="C47" s="117">
        <f t="shared" ref="C47" si="34">C48+C50+C52</f>
        <v>986809.9</v>
      </c>
      <c r="D47" s="117">
        <f t="shared" ref="D47" si="35">D48+D50+D52</f>
        <v>1085936.0899999999</v>
      </c>
      <c r="E47" s="117">
        <f t="shared" ref="E47:F47" si="36">E48+E50+E52</f>
        <v>1137727</v>
      </c>
      <c r="F47" s="117">
        <f t="shared" si="36"/>
        <v>1093855.32</v>
      </c>
      <c r="G47" s="117">
        <f t="shared" si="32"/>
        <v>110.84762323523508</v>
      </c>
      <c r="H47" s="117">
        <f t="shared" si="33"/>
        <v>96.143918532301683</v>
      </c>
      <c r="J47" s="119"/>
    </row>
    <row r="48" spans="1:10" x14ac:dyDescent="0.25">
      <c r="A48" s="87">
        <v>311</v>
      </c>
      <c r="B48" s="88" t="s">
        <v>200</v>
      </c>
      <c r="C48" s="89">
        <f t="shared" ref="C48" si="37">C49</f>
        <v>799427.41</v>
      </c>
      <c r="D48" s="89">
        <f t="shared" ref="D48" si="38">D49</f>
        <v>882825.73</v>
      </c>
      <c r="E48" s="89">
        <f t="shared" ref="E48:F48" si="39">E49</f>
        <v>916845</v>
      </c>
      <c r="F48" s="89">
        <f t="shared" si="39"/>
        <v>882754.79</v>
      </c>
      <c r="G48" s="89">
        <f t="shared" si="32"/>
        <v>110.4233829060227</v>
      </c>
      <c r="H48" s="89">
        <f t="shared" si="33"/>
        <v>96.28179136058985</v>
      </c>
    </row>
    <row r="49" spans="1:8" x14ac:dyDescent="0.25">
      <c r="A49" s="51">
        <v>3111</v>
      </c>
      <c r="B49" s="43" t="s">
        <v>201</v>
      </c>
      <c r="C49" s="90">
        <v>799427.41</v>
      </c>
      <c r="D49" s="93">
        <f>879040.94+3116+668.79</f>
        <v>882825.73</v>
      </c>
      <c r="E49" s="83">
        <v>916845</v>
      </c>
      <c r="F49" s="83">
        <v>882754.79</v>
      </c>
      <c r="G49" s="83">
        <f t="shared" si="32"/>
        <v>110.4233829060227</v>
      </c>
      <c r="H49" s="83">
        <f t="shared" si="33"/>
        <v>96.28179136058985</v>
      </c>
    </row>
    <row r="50" spans="1:8" x14ac:dyDescent="0.25">
      <c r="A50" s="87">
        <v>312</v>
      </c>
      <c r="B50" s="88" t="s">
        <v>202</v>
      </c>
      <c r="C50" s="89">
        <f t="shared" ref="C50" si="40">C51</f>
        <v>59086.9</v>
      </c>
      <c r="D50" s="89">
        <f t="shared" ref="D50" si="41">D51</f>
        <v>60000</v>
      </c>
      <c r="E50" s="89">
        <f t="shared" ref="E50:F50" si="42">E51</f>
        <v>67737</v>
      </c>
      <c r="F50" s="89">
        <f t="shared" si="42"/>
        <v>66010.75</v>
      </c>
      <c r="G50" s="89">
        <f t="shared" si="32"/>
        <v>111.71807964201878</v>
      </c>
      <c r="H50" s="89">
        <f t="shared" si="33"/>
        <v>97.451540516999572</v>
      </c>
    </row>
    <row r="51" spans="1:8" x14ac:dyDescent="0.25">
      <c r="A51" s="51">
        <v>3121</v>
      </c>
      <c r="B51" s="43" t="s">
        <v>202</v>
      </c>
      <c r="C51" s="90">
        <v>59086.9</v>
      </c>
      <c r="D51" s="93">
        <v>60000</v>
      </c>
      <c r="E51" s="83">
        <v>67737</v>
      </c>
      <c r="F51" s="83">
        <v>66010.75</v>
      </c>
      <c r="G51" s="83">
        <f t="shared" si="32"/>
        <v>111.71807964201878</v>
      </c>
      <c r="H51" s="83">
        <f t="shared" si="33"/>
        <v>97.451540516999572</v>
      </c>
    </row>
    <row r="52" spans="1:8" x14ac:dyDescent="0.25">
      <c r="A52" s="87">
        <v>313</v>
      </c>
      <c r="B52" s="88" t="s">
        <v>203</v>
      </c>
      <c r="C52" s="89">
        <f t="shared" ref="C52:D52" si="43">C53</f>
        <v>128295.59</v>
      </c>
      <c r="D52" s="89">
        <f t="shared" si="43"/>
        <v>143110.35999999999</v>
      </c>
      <c r="E52" s="89">
        <f t="shared" ref="E52:F52" si="44">E53</f>
        <v>153145</v>
      </c>
      <c r="F52" s="89">
        <f t="shared" si="44"/>
        <v>145089.78</v>
      </c>
      <c r="G52" s="89">
        <f t="shared" si="32"/>
        <v>113.09023170632754</v>
      </c>
      <c r="H52" s="89">
        <f t="shared" si="33"/>
        <v>94.74013516601913</v>
      </c>
    </row>
    <row r="53" spans="1:8" x14ac:dyDescent="0.25">
      <c r="A53" s="51">
        <v>3132</v>
      </c>
      <c r="B53" s="43" t="s">
        <v>204</v>
      </c>
      <c r="C53" s="90">
        <v>128295.59</v>
      </c>
      <c r="D53" s="93">
        <f>143000+110.36</f>
        <v>143110.35999999999</v>
      </c>
      <c r="E53" s="83">
        <v>153145</v>
      </c>
      <c r="F53" s="83">
        <v>145089.78</v>
      </c>
      <c r="G53" s="83">
        <f t="shared" si="32"/>
        <v>113.09023170632754</v>
      </c>
      <c r="H53" s="83">
        <f t="shared" si="33"/>
        <v>94.74013516601913</v>
      </c>
    </row>
    <row r="54" spans="1:8" s="118" customFormat="1" ht="14.25" x14ac:dyDescent="0.2">
      <c r="A54" s="115">
        <v>32</v>
      </c>
      <c r="B54" s="116" t="s">
        <v>37</v>
      </c>
      <c r="C54" s="117">
        <f>C55+C60+C66+C76+C78</f>
        <v>310722.72000000003</v>
      </c>
      <c r="D54" s="117">
        <f>D55+D60+D66+D76+D78</f>
        <v>419545.27</v>
      </c>
      <c r="E54" s="117">
        <f t="shared" ref="E54" si="45">E55+E60+E66+E76+E78</f>
        <v>461523.32</v>
      </c>
      <c r="F54" s="117">
        <f t="shared" ref="F54" si="46">F55+F60+F66+F76+F78</f>
        <v>461746.12</v>
      </c>
      <c r="G54" s="117">
        <f t="shared" si="32"/>
        <v>148.60391283907398</v>
      </c>
      <c r="H54" s="117">
        <f t="shared" si="33"/>
        <v>100.04827491707245</v>
      </c>
    </row>
    <row r="55" spans="1:8" x14ac:dyDescent="0.25">
      <c r="A55" s="87">
        <v>321</v>
      </c>
      <c r="B55" s="88" t="s">
        <v>205</v>
      </c>
      <c r="C55" s="89">
        <f>SUM(C56:C59)</f>
        <v>31087.280000000002</v>
      </c>
      <c r="D55" s="89">
        <f>SUM(D56:D59)</f>
        <v>50722.31</v>
      </c>
      <c r="E55" s="89">
        <f t="shared" ref="E55" si="47">SUM(E56:E59)</f>
        <v>30686.9</v>
      </c>
      <c r="F55" s="89">
        <f>SUM(F56:F59)</f>
        <v>28773.61</v>
      </c>
      <c r="G55" s="89">
        <f t="shared" si="32"/>
        <v>92.557502618434285</v>
      </c>
      <c r="H55" s="89">
        <f t="shared" si="33"/>
        <v>93.765124531966407</v>
      </c>
    </row>
    <row r="56" spans="1:8" x14ac:dyDescent="0.25">
      <c r="A56" s="51" t="s">
        <v>133</v>
      </c>
      <c r="B56" s="44" t="s">
        <v>206</v>
      </c>
      <c r="C56" s="91">
        <v>11458.87</v>
      </c>
      <c r="D56" s="93">
        <f>10000+467.4+245.65</f>
        <v>10713.05</v>
      </c>
      <c r="E56" s="83">
        <v>13373.63</v>
      </c>
      <c r="F56" s="83">
        <v>13692.88</v>
      </c>
      <c r="G56" s="83">
        <f t="shared" si="32"/>
        <v>119.49590142832582</v>
      </c>
      <c r="H56" s="83">
        <f t="shared" si="33"/>
        <v>102.38716040446761</v>
      </c>
    </row>
    <row r="57" spans="1:8" x14ac:dyDescent="0.25">
      <c r="A57" s="51" t="s">
        <v>134</v>
      </c>
      <c r="B57" s="44" t="s">
        <v>207</v>
      </c>
      <c r="C57" s="91">
        <v>15928.69</v>
      </c>
      <c r="D57" s="93">
        <f>17000+9.26</f>
        <v>17009.259999999998</v>
      </c>
      <c r="E57" s="83">
        <v>14313.27</v>
      </c>
      <c r="F57" s="83">
        <v>13143.94</v>
      </c>
      <c r="G57" s="83">
        <f t="shared" si="32"/>
        <v>82.517394713564016</v>
      </c>
      <c r="H57" s="83">
        <f t="shared" si="33"/>
        <v>91.830448248373713</v>
      </c>
    </row>
    <row r="58" spans="1:8" x14ac:dyDescent="0.25">
      <c r="A58" s="51" t="s">
        <v>135</v>
      </c>
      <c r="B58" s="44" t="s">
        <v>208</v>
      </c>
      <c r="C58" s="91">
        <v>3607.32</v>
      </c>
      <c r="D58" s="93">
        <v>23000</v>
      </c>
      <c r="E58" s="83">
        <v>3000</v>
      </c>
      <c r="F58" s="83">
        <v>1936.79</v>
      </c>
      <c r="G58" s="83">
        <f t="shared" si="32"/>
        <v>53.690551434305803</v>
      </c>
      <c r="H58" s="83">
        <f t="shared" si="33"/>
        <v>64.559666666666672</v>
      </c>
    </row>
    <row r="59" spans="1:8" x14ac:dyDescent="0.25">
      <c r="A59" s="51">
        <v>3214</v>
      </c>
      <c r="B59" s="44" t="s">
        <v>209</v>
      </c>
      <c r="C59" s="91">
        <v>92.4</v>
      </c>
      <c r="D59" s="93">
        <v>0</v>
      </c>
      <c r="E59" s="83">
        <v>0</v>
      </c>
      <c r="F59" s="83">
        <v>0</v>
      </c>
      <c r="G59" s="83">
        <f t="shared" si="32"/>
        <v>0</v>
      </c>
      <c r="H59" s="83" t="e">
        <f t="shared" si="33"/>
        <v>#DIV/0!</v>
      </c>
    </row>
    <row r="60" spans="1:8" x14ac:dyDescent="0.25">
      <c r="A60" s="87">
        <v>322</v>
      </c>
      <c r="B60" s="88" t="s">
        <v>210</v>
      </c>
      <c r="C60" s="89">
        <f t="shared" ref="C60:D60" si="48">SUM(C61:C65)</f>
        <v>39844.85</v>
      </c>
      <c r="D60" s="89">
        <f t="shared" si="48"/>
        <v>34467.4</v>
      </c>
      <c r="E60" s="89">
        <f t="shared" ref="E60" si="49">SUM(E61:E65)</f>
        <v>43258.39</v>
      </c>
      <c r="F60" s="89">
        <f>SUM(F61:F65)</f>
        <v>42061.75</v>
      </c>
      <c r="G60" s="89">
        <f t="shared" si="32"/>
        <v>105.56383070836006</v>
      </c>
      <c r="H60" s="89">
        <f t="shared" si="33"/>
        <v>97.233738934805487</v>
      </c>
    </row>
    <row r="61" spans="1:8" x14ac:dyDescent="0.25">
      <c r="A61" s="51" t="s">
        <v>136</v>
      </c>
      <c r="B61" s="44" t="s">
        <v>211</v>
      </c>
      <c r="C61" s="91">
        <v>10358.99</v>
      </c>
      <c r="D61" s="93">
        <f>7000+3000+500+467.4</f>
        <v>10967.4</v>
      </c>
      <c r="E61" s="83">
        <v>7992</v>
      </c>
      <c r="F61" s="83">
        <v>9419.2800000000007</v>
      </c>
      <c r="G61" s="83">
        <f t="shared" si="32"/>
        <v>90.928555776190549</v>
      </c>
      <c r="H61" s="83">
        <f t="shared" si="33"/>
        <v>117.85885885885887</v>
      </c>
    </row>
    <row r="62" spans="1:8" x14ac:dyDescent="0.25">
      <c r="A62" s="51" t="s">
        <v>137</v>
      </c>
      <c r="B62" s="44" t="s">
        <v>212</v>
      </c>
      <c r="C62" s="91">
        <v>23669.72</v>
      </c>
      <c r="D62" s="93">
        <f>6000+4000+10000</f>
        <v>20000</v>
      </c>
      <c r="E62" s="83">
        <v>28866.39</v>
      </c>
      <c r="F62" s="83">
        <v>29664.69</v>
      </c>
      <c r="G62" s="83">
        <f t="shared" si="32"/>
        <v>125.32759153889441</v>
      </c>
      <c r="H62" s="83">
        <f t="shared" si="33"/>
        <v>102.76549994647755</v>
      </c>
    </row>
    <row r="63" spans="1:8" x14ac:dyDescent="0.25">
      <c r="A63" s="51" t="s">
        <v>138</v>
      </c>
      <c r="B63" s="44" t="s">
        <v>213</v>
      </c>
      <c r="C63" s="91">
        <v>3918.89</v>
      </c>
      <c r="D63" s="93">
        <v>500</v>
      </c>
      <c r="E63" s="83">
        <v>3000</v>
      </c>
      <c r="F63" s="83">
        <v>1788.13</v>
      </c>
      <c r="G63" s="83">
        <f t="shared" si="32"/>
        <v>45.628481534312016</v>
      </c>
      <c r="H63" s="83">
        <f t="shared" si="33"/>
        <v>59.604333333333336</v>
      </c>
    </row>
    <row r="64" spans="1:8" x14ac:dyDescent="0.25">
      <c r="A64" s="51" t="s">
        <v>139</v>
      </c>
      <c r="B64" s="44" t="s">
        <v>214</v>
      </c>
      <c r="C64" s="91">
        <v>1897.25</v>
      </c>
      <c r="D64" s="93">
        <v>2500</v>
      </c>
      <c r="E64" s="83">
        <v>2900</v>
      </c>
      <c r="F64" s="83">
        <v>1189.6500000000001</v>
      </c>
      <c r="G64" s="83">
        <f t="shared" si="32"/>
        <v>62.703913559098702</v>
      </c>
      <c r="H64" s="83">
        <f t="shared" si="33"/>
        <v>41.022413793103453</v>
      </c>
    </row>
    <row r="65" spans="1:8" x14ac:dyDescent="0.25">
      <c r="A65" s="51" t="s">
        <v>140</v>
      </c>
      <c r="B65" s="44" t="s">
        <v>215</v>
      </c>
      <c r="C65" s="91">
        <v>0</v>
      </c>
      <c r="D65" s="93">
        <v>500</v>
      </c>
      <c r="E65" s="83">
        <v>500</v>
      </c>
      <c r="F65" s="83">
        <v>0</v>
      </c>
      <c r="G65" s="83" t="e">
        <f t="shared" si="32"/>
        <v>#DIV/0!</v>
      </c>
      <c r="H65" s="83">
        <f t="shared" si="33"/>
        <v>0</v>
      </c>
    </row>
    <row r="66" spans="1:8" x14ac:dyDescent="0.25">
      <c r="A66" s="87">
        <v>323</v>
      </c>
      <c r="B66" s="88" t="s">
        <v>216</v>
      </c>
      <c r="C66" s="89">
        <f t="shared" ref="C66:D66" si="50">SUM(C67:C75)</f>
        <v>213446.63999999998</v>
      </c>
      <c r="D66" s="89">
        <f t="shared" si="50"/>
        <v>306355.56</v>
      </c>
      <c r="E66" s="89">
        <f t="shared" ref="E66" si="51">SUM(E67:E75)</f>
        <v>340760.82999999996</v>
      </c>
      <c r="F66" s="89">
        <f>SUM(F67:F75)</f>
        <v>325149.05</v>
      </c>
      <c r="G66" s="89">
        <f t="shared" si="32"/>
        <v>152.33270947717895</v>
      </c>
      <c r="H66" s="89">
        <f t="shared" si="33"/>
        <v>95.418552067736201</v>
      </c>
    </row>
    <row r="67" spans="1:8" x14ac:dyDescent="0.25">
      <c r="A67" s="51" t="s">
        <v>141</v>
      </c>
      <c r="B67" s="44" t="s">
        <v>217</v>
      </c>
      <c r="C67" s="91">
        <v>3984.92</v>
      </c>
      <c r="D67" s="93">
        <v>3500</v>
      </c>
      <c r="E67" s="83">
        <v>3500</v>
      </c>
      <c r="F67" s="83">
        <v>4013.62</v>
      </c>
      <c r="G67" s="83">
        <f t="shared" si="32"/>
        <v>100.72021521134677</v>
      </c>
      <c r="H67" s="83">
        <f t="shared" si="33"/>
        <v>114.67485714285715</v>
      </c>
    </row>
    <row r="68" spans="1:8" x14ac:dyDescent="0.25">
      <c r="A68" s="51" t="s">
        <v>142</v>
      </c>
      <c r="B68" s="44" t="s">
        <v>218</v>
      </c>
      <c r="C68" s="91">
        <v>15605.27</v>
      </c>
      <c r="D68" s="93">
        <v>28000</v>
      </c>
      <c r="E68" s="83">
        <v>63080</v>
      </c>
      <c r="F68" s="83">
        <v>61581.7</v>
      </c>
      <c r="G68" s="83">
        <f t="shared" si="32"/>
        <v>394.62117605142362</v>
      </c>
      <c r="H68" s="83">
        <f t="shared" si="33"/>
        <v>97.624762206721613</v>
      </c>
    </row>
    <row r="69" spans="1:8" x14ac:dyDescent="0.25">
      <c r="A69" s="51" t="s">
        <v>143</v>
      </c>
      <c r="B69" s="44" t="s">
        <v>219</v>
      </c>
      <c r="C69" s="91">
        <v>27231.41</v>
      </c>
      <c r="D69" s="93">
        <f>16500+10000+8000+500+12.36</f>
        <v>35012.36</v>
      </c>
      <c r="E69" s="83">
        <v>50297.75</v>
      </c>
      <c r="F69" s="83">
        <v>57160.1</v>
      </c>
      <c r="G69" s="83">
        <f t="shared" si="32"/>
        <v>209.90503246067681</v>
      </c>
      <c r="H69" s="83">
        <f t="shared" si="33"/>
        <v>113.64345323597973</v>
      </c>
    </row>
    <row r="70" spans="1:8" x14ac:dyDescent="0.25">
      <c r="A70" s="51" t="s">
        <v>144</v>
      </c>
      <c r="B70" s="44" t="s">
        <v>220</v>
      </c>
      <c r="C70" s="91">
        <v>15373.35</v>
      </c>
      <c r="D70" s="93">
        <f>8000+10000</f>
        <v>18000</v>
      </c>
      <c r="E70" s="83">
        <v>15000</v>
      </c>
      <c r="F70" s="83">
        <v>17241.79</v>
      </c>
      <c r="G70" s="83">
        <f t="shared" si="32"/>
        <v>112.15375959046013</v>
      </c>
      <c r="H70" s="83">
        <f t="shared" si="33"/>
        <v>114.94526666666667</v>
      </c>
    </row>
    <row r="71" spans="1:8" x14ac:dyDescent="0.25">
      <c r="A71" s="51" t="s">
        <v>145</v>
      </c>
      <c r="B71" s="44" t="s">
        <v>221</v>
      </c>
      <c r="C71" s="91">
        <v>19687.39</v>
      </c>
      <c r="D71" s="93">
        <f>5000+10000</f>
        <v>15000</v>
      </c>
      <c r="E71" s="83">
        <v>16000</v>
      </c>
      <c r="F71" s="83">
        <v>25442.36</v>
      </c>
      <c r="G71" s="83">
        <f t="shared" si="32"/>
        <v>129.23175697743579</v>
      </c>
      <c r="H71" s="83">
        <f t="shared" si="33"/>
        <v>159.01474999999999</v>
      </c>
    </row>
    <row r="72" spans="1:8" x14ac:dyDescent="0.25">
      <c r="A72" s="51" t="s">
        <v>146</v>
      </c>
      <c r="B72" s="44" t="s">
        <v>222</v>
      </c>
      <c r="C72" s="91">
        <v>313.75</v>
      </c>
      <c r="D72" s="93">
        <f>6000</f>
        <v>6000</v>
      </c>
      <c r="E72" s="83">
        <v>6200</v>
      </c>
      <c r="F72" s="83">
        <v>6059.59</v>
      </c>
      <c r="G72" s="83">
        <f t="shared" si="32"/>
        <v>1931.3434262948206</v>
      </c>
      <c r="H72" s="83">
        <f t="shared" si="33"/>
        <v>97.735322580645175</v>
      </c>
    </row>
    <row r="73" spans="1:8" x14ac:dyDescent="0.25">
      <c r="A73" s="51" t="s">
        <v>147</v>
      </c>
      <c r="B73" s="44" t="s">
        <v>223</v>
      </c>
      <c r="C73" s="91">
        <v>90701.84</v>
      </c>
      <c r="D73" s="93">
        <f>43000+22000+7000+15000+49463.2+1200+30000</f>
        <v>167663.20000000001</v>
      </c>
      <c r="E73" s="83">
        <v>145483.07999999999</v>
      </c>
      <c r="F73" s="83">
        <v>109720.5</v>
      </c>
      <c r="G73" s="83">
        <f t="shared" si="32"/>
        <v>120.96832875716746</v>
      </c>
      <c r="H73" s="83">
        <f t="shared" si="33"/>
        <v>75.418048614313093</v>
      </c>
    </row>
    <row r="74" spans="1:8" x14ac:dyDescent="0.25">
      <c r="A74" s="51" t="s">
        <v>148</v>
      </c>
      <c r="B74" s="44" t="s">
        <v>224</v>
      </c>
      <c r="C74" s="91">
        <v>31259.81</v>
      </c>
      <c r="D74" s="93">
        <f>6680+17500</f>
        <v>24180</v>
      </c>
      <c r="E74" s="83">
        <v>34000</v>
      </c>
      <c r="F74" s="83">
        <v>34132.35</v>
      </c>
      <c r="G74" s="83">
        <f t="shared" si="32"/>
        <v>109.18924331273925</v>
      </c>
      <c r="H74" s="83">
        <f t="shared" si="33"/>
        <v>100.38926470588234</v>
      </c>
    </row>
    <row r="75" spans="1:8" x14ac:dyDescent="0.25">
      <c r="A75" s="51" t="s">
        <v>149</v>
      </c>
      <c r="B75" s="44" t="s">
        <v>225</v>
      </c>
      <c r="C75" s="91">
        <v>9288.9</v>
      </c>
      <c r="D75" s="93">
        <f>3000+6000</f>
        <v>9000</v>
      </c>
      <c r="E75" s="83">
        <v>7200</v>
      </c>
      <c r="F75" s="83">
        <v>9797.0400000000009</v>
      </c>
      <c r="G75" s="83">
        <f t="shared" si="32"/>
        <v>105.47040015502375</v>
      </c>
      <c r="H75" s="83">
        <f t="shared" si="33"/>
        <v>136.07</v>
      </c>
    </row>
    <row r="76" spans="1:8" x14ac:dyDescent="0.25">
      <c r="A76" s="87">
        <v>324</v>
      </c>
      <c r="B76" s="88" t="s">
        <v>226</v>
      </c>
      <c r="C76" s="89">
        <f t="shared" ref="C76:D76" si="52">C77</f>
        <v>10471.15</v>
      </c>
      <c r="D76" s="89">
        <f t="shared" si="52"/>
        <v>6500</v>
      </c>
      <c r="E76" s="89">
        <f t="shared" ref="E76:F76" si="53">E77</f>
        <v>22587.200000000001</v>
      </c>
      <c r="F76" s="89">
        <f t="shared" si="53"/>
        <v>42300.9</v>
      </c>
      <c r="G76" s="89">
        <f t="shared" si="32"/>
        <v>403.97568557417287</v>
      </c>
      <c r="H76" s="89">
        <f t="shared" si="33"/>
        <v>187.27819295884393</v>
      </c>
    </row>
    <row r="77" spans="1:8" x14ac:dyDescent="0.25">
      <c r="A77" s="51" t="s">
        <v>150</v>
      </c>
      <c r="B77" s="44" t="s">
        <v>226</v>
      </c>
      <c r="C77" s="91">
        <v>10471.15</v>
      </c>
      <c r="D77" s="93">
        <f>3000+3500</f>
        <v>6500</v>
      </c>
      <c r="E77" s="83">
        <v>22587.200000000001</v>
      </c>
      <c r="F77" s="83">
        <v>42300.9</v>
      </c>
      <c r="G77" s="83">
        <f t="shared" si="32"/>
        <v>403.97568557417287</v>
      </c>
      <c r="H77" s="83">
        <f t="shared" si="33"/>
        <v>187.27819295884393</v>
      </c>
    </row>
    <row r="78" spans="1:8" x14ac:dyDescent="0.25">
      <c r="A78" s="87">
        <v>329</v>
      </c>
      <c r="B78" s="88" t="s">
        <v>227</v>
      </c>
      <c r="C78" s="89">
        <f t="shared" ref="C78:D78" si="54">SUM(C79:C84)</f>
        <v>15872.799999999997</v>
      </c>
      <c r="D78" s="89">
        <f t="shared" si="54"/>
        <v>21500</v>
      </c>
      <c r="E78" s="89">
        <f t="shared" ref="E78" si="55">SUM(E79:E84)</f>
        <v>24230</v>
      </c>
      <c r="F78" s="89">
        <f>SUM(F79:F84)</f>
        <v>23460.81</v>
      </c>
      <c r="G78" s="89">
        <f t="shared" si="32"/>
        <v>147.80511314953887</v>
      </c>
      <c r="H78" s="89">
        <f t="shared" si="33"/>
        <v>96.825464300453987</v>
      </c>
    </row>
    <row r="79" spans="1:8" x14ac:dyDescent="0.25">
      <c r="A79" s="51" t="s">
        <v>151</v>
      </c>
      <c r="B79" s="44" t="s">
        <v>228</v>
      </c>
      <c r="C79" s="91">
        <v>5967.98</v>
      </c>
      <c r="D79" s="93">
        <v>5000</v>
      </c>
      <c r="E79" s="83">
        <v>9000</v>
      </c>
      <c r="F79" s="83">
        <v>8548.27</v>
      </c>
      <c r="G79" s="83">
        <f t="shared" si="32"/>
        <v>143.23556714332156</v>
      </c>
      <c r="H79" s="83">
        <f t="shared" si="33"/>
        <v>94.980777777777774</v>
      </c>
    </row>
    <row r="80" spans="1:8" x14ac:dyDescent="0.25">
      <c r="A80" s="51" t="s">
        <v>152</v>
      </c>
      <c r="B80" s="44" t="s">
        <v>229</v>
      </c>
      <c r="C80" s="91">
        <v>2195.46</v>
      </c>
      <c r="D80" s="93">
        <v>2300</v>
      </c>
      <c r="E80" s="83">
        <v>1630</v>
      </c>
      <c r="F80" s="83">
        <v>2346.9699999999998</v>
      </c>
      <c r="G80" s="83">
        <f t="shared" si="32"/>
        <v>106.90105945906552</v>
      </c>
      <c r="H80" s="83">
        <f t="shared" si="33"/>
        <v>143.98588957055213</v>
      </c>
    </row>
    <row r="81" spans="1:8" x14ac:dyDescent="0.25">
      <c r="A81" s="51" t="s">
        <v>153</v>
      </c>
      <c r="B81" s="44" t="s">
        <v>230</v>
      </c>
      <c r="C81" s="91">
        <v>4409.43</v>
      </c>
      <c r="D81" s="93">
        <f>5000+5000+200</f>
        <v>10200</v>
      </c>
      <c r="E81" s="83">
        <v>8500</v>
      </c>
      <c r="F81" s="83">
        <v>8087.58</v>
      </c>
      <c r="G81" s="83">
        <f t="shared" si="32"/>
        <v>183.41554350562316</v>
      </c>
      <c r="H81" s="83">
        <f t="shared" si="33"/>
        <v>95.147999999999996</v>
      </c>
    </row>
    <row r="82" spans="1:8" x14ac:dyDescent="0.25">
      <c r="A82" s="51" t="s">
        <v>154</v>
      </c>
      <c r="B82" s="44" t="s">
        <v>231</v>
      </c>
      <c r="C82" s="91">
        <v>479.96</v>
      </c>
      <c r="D82" s="93">
        <v>1500</v>
      </c>
      <c r="E82" s="83">
        <v>1000</v>
      </c>
      <c r="F82" s="83">
        <v>689.08</v>
      </c>
      <c r="G82" s="83">
        <f t="shared" si="32"/>
        <v>143.57029752479374</v>
      </c>
      <c r="H82" s="83">
        <f t="shared" si="33"/>
        <v>68.908000000000001</v>
      </c>
    </row>
    <row r="83" spans="1:8" x14ac:dyDescent="0.25">
      <c r="A83" s="51" t="s">
        <v>155</v>
      </c>
      <c r="B83" s="44" t="s">
        <v>232</v>
      </c>
      <c r="C83" s="91">
        <v>2366.16</v>
      </c>
      <c r="D83" s="93">
        <v>2300</v>
      </c>
      <c r="E83" s="83">
        <v>4000</v>
      </c>
      <c r="F83" s="83">
        <v>3542.81</v>
      </c>
      <c r="G83" s="83">
        <f t="shared" si="32"/>
        <v>149.72825168205023</v>
      </c>
      <c r="H83" s="83">
        <f t="shared" si="33"/>
        <v>88.570250000000001</v>
      </c>
    </row>
    <row r="84" spans="1:8" x14ac:dyDescent="0.25">
      <c r="A84" s="51" t="s">
        <v>156</v>
      </c>
      <c r="B84" s="44" t="s">
        <v>227</v>
      </c>
      <c r="C84" s="91">
        <v>453.81</v>
      </c>
      <c r="D84" s="93">
        <f>100+100</f>
        <v>200</v>
      </c>
      <c r="E84" s="83">
        <v>100</v>
      </c>
      <c r="F84" s="83">
        <v>246.1</v>
      </c>
      <c r="G84" s="83">
        <f t="shared" si="32"/>
        <v>54.22974372534761</v>
      </c>
      <c r="H84" s="83">
        <f t="shared" si="33"/>
        <v>246.1</v>
      </c>
    </row>
    <row r="85" spans="1:8" s="118" customFormat="1" ht="14.25" x14ac:dyDescent="0.2">
      <c r="A85" s="115">
        <v>34</v>
      </c>
      <c r="B85" s="116" t="s">
        <v>233</v>
      </c>
      <c r="C85" s="117">
        <f t="shared" ref="C85:D85" si="56">C86</f>
        <v>1308.9699999999998</v>
      </c>
      <c r="D85" s="117">
        <f t="shared" si="56"/>
        <v>1200</v>
      </c>
      <c r="E85" s="117">
        <f>E86</f>
        <v>1200</v>
      </c>
      <c r="F85" s="117">
        <f>F86</f>
        <v>1185.1300000000001</v>
      </c>
      <c r="G85" s="117">
        <f t="shared" si="32"/>
        <v>90.539126183182219</v>
      </c>
      <c r="H85" s="117">
        <f t="shared" si="33"/>
        <v>98.760833333333338</v>
      </c>
    </row>
    <row r="86" spans="1:8" x14ac:dyDescent="0.25">
      <c r="A86" s="87">
        <v>343</v>
      </c>
      <c r="B86" s="88" t="s">
        <v>234</v>
      </c>
      <c r="C86" s="89">
        <f t="shared" ref="C86" si="57">C87+C88</f>
        <v>1308.9699999999998</v>
      </c>
      <c r="D86" s="89">
        <f t="shared" ref="D86" si="58">D87+D88</f>
        <v>1200</v>
      </c>
      <c r="E86" s="89">
        <f t="shared" ref="E86" si="59">E87+E88</f>
        <v>1200</v>
      </c>
      <c r="F86" s="89">
        <f t="shared" ref="F86" si="60">F87+F88</f>
        <v>1185.1300000000001</v>
      </c>
      <c r="G86" s="89">
        <f t="shared" si="32"/>
        <v>90.539126183182219</v>
      </c>
      <c r="H86" s="89">
        <f t="shared" si="33"/>
        <v>98.760833333333338</v>
      </c>
    </row>
    <row r="87" spans="1:8" x14ac:dyDescent="0.25">
      <c r="A87" s="51" t="s">
        <v>157</v>
      </c>
      <c r="B87" s="44" t="s">
        <v>235</v>
      </c>
      <c r="C87" s="91">
        <v>1180.3499999999999</v>
      </c>
      <c r="D87" s="93">
        <v>1200</v>
      </c>
      <c r="E87" s="83">
        <v>1200</v>
      </c>
      <c r="F87" s="83">
        <v>1082.93</v>
      </c>
      <c r="G87" s="83">
        <f t="shared" si="32"/>
        <v>91.746515863938669</v>
      </c>
      <c r="H87" s="83">
        <f t="shared" si="33"/>
        <v>90.244166666666672</v>
      </c>
    </row>
    <row r="88" spans="1:8" x14ac:dyDescent="0.25">
      <c r="A88" s="51">
        <v>3433</v>
      </c>
      <c r="B88" s="44" t="s">
        <v>236</v>
      </c>
      <c r="C88" s="91">
        <v>128.62</v>
      </c>
      <c r="D88" s="91">
        <v>0</v>
      </c>
      <c r="E88" s="83">
        <v>0</v>
      </c>
      <c r="F88" s="83">
        <v>102.2</v>
      </c>
      <c r="G88" s="83">
        <f t="shared" si="32"/>
        <v>79.458871093142591</v>
      </c>
      <c r="H88" s="83" t="e">
        <f t="shared" si="33"/>
        <v>#DIV/0!</v>
      </c>
    </row>
    <row r="89" spans="1:8" s="118" customFormat="1" ht="14.25" x14ac:dyDescent="0.2">
      <c r="A89" s="115">
        <v>36</v>
      </c>
      <c r="B89" s="116" t="s">
        <v>237</v>
      </c>
      <c r="C89" s="117">
        <f t="shared" ref="C89:F90" si="61">C90</f>
        <v>9145</v>
      </c>
      <c r="D89" s="117">
        <f t="shared" si="61"/>
        <v>0</v>
      </c>
      <c r="E89" s="117">
        <f>E90+E92</f>
        <v>59670.55</v>
      </c>
      <c r="F89" s="117">
        <f>F90+F92</f>
        <v>12587.65</v>
      </c>
      <c r="G89" s="117">
        <f t="shared" si="32"/>
        <v>137.64516129032259</v>
      </c>
      <c r="H89" s="117">
        <f t="shared" si="33"/>
        <v>21.095247152908762</v>
      </c>
    </row>
    <row r="90" spans="1:8" x14ac:dyDescent="0.25">
      <c r="A90" s="87">
        <v>368</v>
      </c>
      <c r="B90" s="88" t="s">
        <v>182</v>
      </c>
      <c r="C90" s="89">
        <f>C91</f>
        <v>9145</v>
      </c>
      <c r="D90" s="89">
        <f t="shared" si="61"/>
        <v>0</v>
      </c>
      <c r="E90" s="89">
        <f t="shared" si="61"/>
        <v>0</v>
      </c>
      <c r="F90" s="89">
        <f t="shared" si="61"/>
        <v>12587.65</v>
      </c>
      <c r="G90" s="89">
        <f t="shared" si="32"/>
        <v>137.64516129032259</v>
      </c>
      <c r="H90" s="89" t="e">
        <f t="shared" si="33"/>
        <v>#DIV/0!</v>
      </c>
    </row>
    <row r="91" spans="1:8" x14ac:dyDescent="0.25">
      <c r="A91" s="51">
        <v>3681</v>
      </c>
      <c r="B91" s="44" t="s">
        <v>238</v>
      </c>
      <c r="C91" s="91">
        <v>9145</v>
      </c>
      <c r="D91" s="91">
        <v>0</v>
      </c>
      <c r="E91" s="83">
        <v>0</v>
      </c>
      <c r="F91" s="83">
        <v>12587.65</v>
      </c>
      <c r="G91" s="83">
        <f t="shared" si="32"/>
        <v>137.64516129032259</v>
      </c>
      <c r="H91" s="83" t="e">
        <f t="shared" si="33"/>
        <v>#DIV/0!</v>
      </c>
    </row>
    <row r="92" spans="1:8" x14ac:dyDescent="0.25">
      <c r="A92" s="87">
        <v>369</v>
      </c>
      <c r="B92" s="88" t="s">
        <v>262</v>
      </c>
      <c r="C92" s="89">
        <f t="shared" ref="C92:D92" si="62">C93+C94</f>
        <v>0</v>
      </c>
      <c r="D92" s="89">
        <f t="shared" si="62"/>
        <v>0</v>
      </c>
      <c r="E92" s="89">
        <f>E93+E94</f>
        <v>59670.55</v>
      </c>
      <c r="F92" s="89">
        <f>F93+F94</f>
        <v>0</v>
      </c>
      <c r="G92" s="89" t="e">
        <f t="shared" si="32"/>
        <v>#DIV/0!</v>
      </c>
      <c r="H92" s="89">
        <f t="shared" si="33"/>
        <v>0</v>
      </c>
    </row>
    <row r="93" spans="1:8" x14ac:dyDescent="0.25">
      <c r="A93" s="51">
        <v>3691</v>
      </c>
      <c r="B93" s="44" t="s">
        <v>281</v>
      </c>
      <c r="C93" s="91">
        <v>0</v>
      </c>
      <c r="D93" s="91">
        <v>0</v>
      </c>
      <c r="E93" s="83">
        <v>16509.919999999998</v>
      </c>
      <c r="F93" s="83">
        <v>0</v>
      </c>
      <c r="G93" s="83" t="e">
        <f t="shared" si="32"/>
        <v>#DIV/0!</v>
      </c>
      <c r="H93" s="83">
        <f t="shared" si="33"/>
        <v>0</v>
      </c>
    </row>
    <row r="94" spans="1:8" x14ac:dyDescent="0.25">
      <c r="A94" s="51">
        <v>3693</v>
      </c>
      <c r="B94" s="44" t="s">
        <v>263</v>
      </c>
      <c r="C94" s="91">
        <v>0</v>
      </c>
      <c r="D94" s="91">
        <v>0</v>
      </c>
      <c r="E94" s="83">
        <v>43160.630000000005</v>
      </c>
      <c r="F94" s="83">
        <v>0</v>
      </c>
      <c r="G94" s="83" t="e">
        <f t="shared" si="32"/>
        <v>#DIV/0!</v>
      </c>
      <c r="H94" s="83">
        <f t="shared" si="33"/>
        <v>0</v>
      </c>
    </row>
    <row r="95" spans="1:8" s="118" customFormat="1" ht="14.25" x14ac:dyDescent="0.2">
      <c r="A95" s="115">
        <v>37</v>
      </c>
      <c r="B95" s="116" t="s">
        <v>239</v>
      </c>
      <c r="C95" s="117">
        <f t="shared" ref="C95" si="63">C96</f>
        <v>8541.73</v>
      </c>
      <c r="D95" s="117">
        <f t="shared" ref="D95:D96" si="64">D96</f>
        <v>8700</v>
      </c>
      <c r="E95" s="117">
        <f t="shared" ref="E95:F96" si="65">E96</f>
        <v>0</v>
      </c>
      <c r="F95" s="117">
        <f t="shared" si="65"/>
        <v>0</v>
      </c>
      <c r="G95" s="117">
        <f t="shared" si="32"/>
        <v>0</v>
      </c>
      <c r="H95" s="117" t="e">
        <f t="shared" si="33"/>
        <v>#DIV/0!</v>
      </c>
    </row>
    <row r="96" spans="1:8" x14ac:dyDescent="0.25">
      <c r="A96" s="87">
        <v>372</v>
      </c>
      <c r="B96" s="88" t="s">
        <v>240</v>
      </c>
      <c r="C96" s="89">
        <f>C97</f>
        <v>8541.73</v>
      </c>
      <c r="D96" s="89">
        <f t="shared" si="64"/>
        <v>8700</v>
      </c>
      <c r="E96" s="89">
        <f t="shared" si="65"/>
        <v>0</v>
      </c>
      <c r="F96" s="89">
        <f t="shared" si="65"/>
        <v>0</v>
      </c>
      <c r="G96" s="89">
        <f t="shared" si="32"/>
        <v>0</v>
      </c>
      <c r="H96" s="89" t="e">
        <f t="shared" si="33"/>
        <v>#DIV/0!</v>
      </c>
    </row>
    <row r="97" spans="1:8" x14ac:dyDescent="0.25">
      <c r="A97" s="51">
        <v>3721</v>
      </c>
      <c r="B97" s="44" t="s">
        <v>239</v>
      </c>
      <c r="C97" s="91">
        <v>8541.73</v>
      </c>
      <c r="D97" s="93">
        <v>8700</v>
      </c>
      <c r="E97" s="83">
        <v>0</v>
      </c>
      <c r="F97" s="83">
        <v>0</v>
      </c>
      <c r="G97" s="83">
        <f t="shared" si="32"/>
        <v>0</v>
      </c>
      <c r="H97" s="83" t="e">
        <f t="shared" si="33"/>
        <v>#DIV/0!</v>
      </c>
    </row>
    <row r="98" spans="1:8" x14ac:dyDescent="0.25">
      <c r="A98" s="120">
        <v>4</v>
      </c>
      <c r="B98" s="120" t="s">
        <v>38</v>
      </c>
      <c r="C98" s="121">
        <f t="shared" ref="C98" si="66">C99+C102</f>
        <v>72737</v>
      </c>
      <c r="D98" s="121">
        <f t="shared" ref="D98" si="67">D99+D102</f>
        <v>145265.64000000001</v>
      </c>
      <c r="E98" s="121">
        <f>E99+E102</f>
        <v>812513.04</v>
      </c>
      <c r="F98" s="121">
        <f>F99+F102</f>
        <v>33902.769999999997</v>
      </c>
      <c r="G98" s="121">
        <f t="shared" si="32"/>
        <v>46.610074652515223</v>
      </c>
      <c r="H98" s="121">
        <f t="shared" si="33"/>
        <v>4.1725816486588316</v>
      </c>
    </row>
    <row r="99" spans="1:8" x14ac:dyDescent="0.25">
      <c r="A99" s="111">
        <v>41</v>
      </c>
      <c r="B99" s="112" t="s">
        <v>39</v>
      </c>
      <c r="C99" s="113">
        <f t="shared" ref="C99:D100" si="68">C100</f>
        <v>1738.75</v>
      </c>
      <c r="D99" s="113">
        <f t="shared" si="68"/>
        <v>0</v>
      </c>
      <c r="E99" s="113">
        <f t="shared" ref="E99:F99" si="69">E100</f>
        <v>0</v>
      </c>
      <c r="F99" s="113">
        <f t="shared" si="69"/>
        <v>0</v>
      </c>
      <c r="G99" s="113">
        <f t="shared" si="32"/>
        <v>0</v>
      </c>
      <c r="H99" s="113" t="e">
        <f t="shared" si="33"/>
        <v>#DIV/0!</v>
      </c>
    </row>
    <row r="100" spans="1:8" x14ac:dyDescent="0.25">
      <c r="A100" s="87">
        <v>412</v>
      </c>
      <c r="B100" s="88" t="s">
        <v>241</v>
      </c>
      <c r="C100" s="89">
        <f t="shared" si="68"/>
        <v>1738.75</v>
      </c>
      <c r="D100" s="89">
        <f t="shared" si="68"/>
        <v>0</v>
      </c>
      <c r="E100" s="89">
        <f>E101</f>
        <v>0</v>
      </c>
      <c r="F100" s="89">
        <f>F101</f>
        <v>0</v>
      </c>
      <c r="G100" s="89">
        <f t="shared" si="32"/>
        <v>0</v>
      </c>
      <c r="H100" s="89" t="e">
        <f t="shared" si="33"/>
        <v>#DIV/0!</v>
      </c>
    </row>
    <row r="101" spans="1:8" x14ac:dyDescent="0.25">
      <c r="A101" s="51" t="s">
        <v>158</v>
      </c>
      <c r="B101" s="48" t="s">
        <v>242</v>
      </c>
      <c r="C101" s="83">
        <v>1738.75</v>
      </c>
      <c r="D101" s="83">
        <v>0</v>
      </c>
      <c r="E101" s="83">
        <v>0</v>
      </c>
      <c r="F101" s="83">
        <v>0</v>
      </c>
      <c r="G101" s="83">
        <f t="shared" si="32"/>
        <v>0</v>
      </c>
      <c r="H101" s="83" t="e">
        <f t="shared" si="33"/>
        <v>#DIV/0!</v>
      </c>
    </row>
    <row r="102" spans="1:8" s="118" customFormat="1" ht="14.25" x14ac:dyDescent="0.2">
      <c r="A102" s="115">
        <v>42</v>
      </c>
      <c r="B102" s="116" t="s">
        <v>243</v>
      </c>
      <c r="C102" s="117">
        <f t="shared" ref="C102" si="70">C103+C105</f>
        <v>70998.25</v>
      </c>
      <c r="D102" s="117">
        <f t="shared" ref="D102" si="71">D103+D105</f>
        <v>145265.64000000001</v>
      </c>
      <c r="E102" s="117">
        <f>E103+E105</f>
        <v>812513.04</v>
      </c>
      <c r="F102" s="117">
        <f>F103+F105</f>
        <v>33902.769999999997</v>
      </c>
      <c r="G102" s="117">
        <f t="shared" si="32"/>
        <v>47.751557256692948</v>
      </c>
      <c r="H102" s="117">
        <f t="shared" si="33"/>
        <v>4.1725816486588316</v>
      </c>
    </row>
    <row r="103" spans="1:8" x14ac:dyDescent="0.25">
      <c r="A103" s="87">
        <v>421</v>
      </c>
      <c r="B103" s="88" t="s">
        <v>244</v>
      </c>
      <c r="C103" s="89">
        <f t="shared" ref="C103:D103" si="72">C104</f>
        <v>62327.23</v>
      </c>
      <c r="D103" s="89">
        <f t="shared" si="72"/>
        <v>145265.64000000001</v>
      </c>
      <c r="E103" s="89">
        <f>E104</f>
        <v>803351.23</v>
      </c>
      <c r="F103" s="89">
        <f>F104</f>
        <v>25037.5</v>
      </c>
      <c r="G103" s="89">
        <f t="shared" si="32"/>
        <v>40.171045624841661</v>
      </c>
      <c r="H103" s="89">
        <f t="shared" si="33"/>
        <v>3.1166318124638956</v>
      </c>
    </row>
    <row r="104" spans="1:8" x14ac:dyDescent="0.25">
      <c r="A104" s="51" t="s">
        <v>159</v>
      </c>
      <c r="B104" s="48" t="s">
        <v>245</v>
      </c>
      <c r="C104" s="90">
        <v>62327.23</v>
      </c>
      <c r="D104" s="104">
        <v>145265.64000000001</v>
      </c>
      <c r="E104" s="83">
        <v>803351.23</v>
      </c>
      <c r="F104" s="83">
        <v>25037.5</v>
      </c>
      <c r="G104" s="83">
        <f t="shared" si="32"/>
        <v>40.171045624841661</v>
      </c>
      <c r="H104" s="83">
        <f t="shared" si="33"/>
        <v>3.1166318124638956</v>
      </c>
    </row>
    <row r="105" spans="1:8" x14ac:dyDescent="0.25">
      <c r="A105" s="87">
        <v>422</v>
      </c>
      <c r="B105" s="88" t="s">
        <v>246</v>
      </c>
      <c r="C105" s="89">
        <f t="shared" ref="C105:D105" si="73">SUM(C106:C110)</f>
        <v>8671.02</v>
      </c>
      <c r="D105" s="89">
        <f t="shared" si="73"/>
        <v>0</v>
      </c>
      <c r="E105" s="89">
        <f>SUM(E106:E110)</f>
        <v>9161.81</v>
      </c>
      <c r="F105" s="89">
        <f>SUM(F106:F110)</f>
        <v>8865.2699999999986</v>
      </c>
      <c r="G105" s="89">
        <f t="shared" si="32"/>
        <v>102.24022087366882</v>
      </c>
      <c r="H105" s="89">
        <f t="shared" si="33"/>
        <v>96.763303321068634</v>
      </c>
    </row>
    <row r="106" spans="1:8" x14ac:dyDescent="0.25">
      <c r="A106" s="51" t="s">
        <v>160</v>
      </c>
      <c r="B106" s="48" t="s">
        <v>265</v>
      </c>
      <c r="C106" s="91">
        <v>7484.42</v>
      </c>
      <c r="D106" s="91">
        <v>0</v>
      </c>
      <c r="E106" s="105">
        <v>2400</v>
      </c>
      <c r="F106" s="105">
        <v>2699.97</v>
      </c>
      <c r="G106" s="105">
        <f t="shared" si="32"/>
        <v>36.074538842021155</v>
      </c>
      <c r="H106" s="105">
        <f t="shared" si="33"/>
        <v>112.49874999999999</v>
      </c>
    </row>
    <row r="107" spans="1:8" x14ac:dyDescent="0.25">
      <c r="A107" s="51">
        <v>4222</v>
      </c>
      <c r="B107" s="48" t="s">
        <v>247</v>
      </c>
      <c r="C107" s="91">
        <v>1186.5999999999999</v>
      </c>
      <c r="D107" s="91">
        <v>0</v>
      </c>
      <c r="E107" s="83">
        <v>0</v>
      </c>
      <c r="F107" s="83">
        <v>0</v>
      </c>
      <c r="G107" s="83">
        <f t="shared" si="32"/>
        <v>0</v>
      </c>
      <c r="H107" s="83" t="e">
        <f t="shared" si="33"/>
        <v>#DIV/0!</v>
      </c>
    </row>
    <row r="108" spans="1:8" x14ac:dyDescent="0.25">
      <c r="A108" s="51" t="s">
        <v>161</v>
      </c>
      <c r="B108" s="48" t="s">
        <v>266</v>
      </c>
      <c r="C108" s="90">
        <v>0</v>
      </c>
      <c r="D108" s="90">
        <v>0</v>
      </c>
      <c r="E108" s="83">
        <v>0</v>
      </c>
      <c r="F108" s="83">
        <v>0</v>
      </c>
      <c r="G108" s="83" t="e">
        <f t="shared" si="32"/>
        <v>#DIV/0!</v>
      </c>
      <c r="H108" s="83" t="e">
        <f t="shared" si="33"/>
        <v>#DIV/0!</v>
      </c>
    </row>
    <row r="109" spans="1:8" x14ac:dyDescent="0.25">
      <c r="A109" s="51" t="s">
        <v>162</v>
      </c>
      <c r="B109" s="48" t="s">
        <v>267</v>
      </c>
      <c r="C109" s="90">
        <v>0</v>
      </c>
      <c r="D109" s="90">
        <v>0</v>
      </c>
      <c r="E109" s="83">
        <v>4500</v>
      </c>
      <c r="F109" s="83">
        <v>3903.49</v>
      </c>
      <c r="G109" s="83" t="e">
        <f t="shared" si="32"/>
        <v>#DIV/0!</v>
      </c>
      <c r="H109" s="83">
        <f t="shared" si="33"/>
        <v>86.74422222222222</v>
      </c>
    </row>
    <row r="110" spans="1:8" x14ac:dyDescent="0.25">
      <c r="A110" s="51" t="s">
        <v>163</v>
      </c>
      <c r="B110" s="48" t="s">
        <v>268</v>
      </c>
      <c r="C110" s="90">
        <v>0</v>
      </c>
      <c r="D110" s="90">
        <v>0</v>
      </c>
      <c r="E110" s="83">
        <v>2261.81</v>
      </c>
      <c r="F110" s="83">
        <v>2261.81</v>
      </c>
      <c r="G110" s="83" t="e">
        <f t="shared" ref="G110" si="74">F110/C110*100</f>
        <v>#DIV/0!</v>
      </c>
      <c r="H110" s="83">
        <f t="shared" ref="H110" si="75">F110/E110*100</f>
        <v>100</v>
      </c>
    </row>
    <row r="113" spans="1:8" ht="15.6" customHeight="1" x14ac:dyDescent="0.25">
      <c r="A113" s="156" t="s">
        <v>40</v>
      </c>
      <c r="B113" s="156"/>
      <c r="C113" s="156"/>
      <c r="D113" s="156"/>
      <c r="E113" s="156"/>
      <c r="F113" s="156"/>
    </row>
    <row r="114" spans="1:8" ht="18.75" x14ac:dyDescent="0.25">
      <c r="A114" s="31"/>
      <c r="B114" s="31"/>
      <c r="C114" s="92"/>
      <c r="D114" s="92"/>
      <c r="E114" s="75"/>
      <c r="F114" s="75"/>
      <c r="G114" s="75"/>
      <c r="H114" s="75"/>
    </row>
    <row r="115" spans="1:8" ht="44.25" customHeight="1" x14ac:dyDescent="0.25">
      <c r="A115" s="36" t="s">
        <v>41</v>
      </c>
      <c r="B115" s="37" t="s">
        <v>22</v>
      </c>
      <c r="C115" s="77" t="s">
        <v>73</v>
      </c>
      <c r="D115" s="77" t="s">
        <v>275</v>
      </c>
      <c r="E115" s="77" t="s">
        <v>283</v>
      </c>
      <c r="F115" s="77" t="s">
        <v>286</v>
      </c>
      <c r="G115" s="78" t="s">
        <v>276</v>
      </c>
      <c r="H115" s="78" t="s">
        <v>276</v>
      </c>
    </row>
    <row r="116" spans="1:8" s="40" customFormat="1" ht="11.25" x14ac:dyDescent="0.2">
      <c r="A116" s="39">
        <v>1</v>
      </c>
      <c r="B116" s="39">
        <v>2</v>
      </c>
      <c r="C116" s="103">
        <v>3</v>
      </c>
      <c r="D116" s="103">
        <v>4</v>
      </c>
      <c r="E116" s="103">
        <v>5</v>
      </c>
      <c r="F116" s="103">
        <v>6</v>
      </c>
      <c r="G116" s="124" t="s">
        <v>291</v>
      </c>
      <c r="H116" s="124" t="s">
        <v>292</v>
      </c>
    </row>
    <row r="117" spans="1:8" x14ac:dyDescent="0.25">
      <c r="A117" s="41"/>
      <c r="B117" s="41" t="s">
        <v>29</v>
      </c>
      <c r="C117" s="97">
        <f>C118+C121+C124+C127+C133+C136</f>
        <v>1451328.32</v>
      </c>
      <c r="D117" s="97">
        <f t="shared" ref="D117:E117" si="76">D118+D121+D124+D127+D133+D136</f>
        <v>1660647</v>
      </c>
      <c r="E117" s="97">
        <f t="shared" si="76"/>
        <v>2502057</v>
      </c>
      <c r="F117" s="97">
        <f t="shared" ref="F117" si="77">F118+F121+F124+F127+F133+F136</f>
        <v>1491358.9</v>
      </c>
      <c r="G117" s="97">
        <f>F117/C117*100</f>
        <v>102.75820291303899</v>
      </c>
      <c r="H117" s="97">
        <f>F117/E117*100</f>
        <v>59.605312748670393</v>
      </c>
    </row>
    <row r="118" spans="1:8" x14ac:dyDescent="0.25">
      <c r="A118" s="41">
        <v>1</v>
      </c>
      <c r="B118" s="41" t="s">
        <v>42</v>
      </c>
      <c r="C118" s="97">
        <f t="shared" ref="C118:E118" si="78">C119+C120</f>
        <v>1233513.74</v>
      </c>
      <c r="D118" s="97">
        <f t="shared" si="78"/>
        <v>1445133</v>
      </c>
      <c r="E118" s="97">
        <f t="shared" si="78"/>
        <v>1471440.1800000002</v>
      </c>
      <c r="F118" s="97">
        <f t="shared" ref="F118" si="79">F119+F120</f>
        <v>1268054.47</v>
      </c>
      <c r="G118" s="97">
        <f t="shared" ref="G118:G137" si="80">F118/C118*100</f>
        <v>102.80019013002644</v>
      </c>
      <c r="H118" s="97">
        <f t="shared" ref="H118:H137" si="81">F118/E118*100</f>
        <v>86.177779242102787</v>
      </c>
    </row>
    <row r="119" spans="1:8" x14ac:dyDescent="0.25">
      <c r="A119" s="51">
        <v>11</v>
      </c>
      <c r="B119" s="43" t="s">
        <v>42</v>
      </c>
      <c r="C119" s="90">
        <v>1233513.74</v>
      </c>
      <c r="D119" s="90">
        <v>1445133</v>
      </c>
      <c r="E119" s="83">
        <v>1339715.07</v>
      </c>
      <c r="F119" s="83">
        <v>1162869.21</v>
      </c>
      <c r="G119" s="97">
        <f t="shared" si="80"/>
        <v>94.272902870137472</v>
      </c>
      <c r="H119" s="97">
        <f t="shared" si="81"/>
        <v>86.799740932973151</v>
      </c>
    </row>
    <row r="120" spans="1:8" x14ac:dyDescent="0.25">
      <c r="A120" s="52">
        <v>15</v>
      </c>
      <c r="B120" s="43" t="s">
        <v>250</v>
      </c>
      <c r="C120" s="90">
        <v>0</v>
      </c>
      <c r="D120" s="90">
        <v>0</v>
      </c>
      <c r="E120" s="83">
        <v>131725.10999999999</v>
      </c>
      <c r="F120" s="83">
        <f>46304.67+58880.59</f>
        <v>105185.26</v>
      </c>
      <c r="G120" s="97" t="e">
        <f t="shared" si="80"/>
        <v>#DIV/0!</v>
      </c>
      <c r="H120" s="97">
        <f t="shared" si="81"/>
        <v>79.852095018178389</v>
      </c>
    </row>
    <row r="121" spans="1:8" x14ac:dyDescent="0.25">
      <c r="A121" s="41">
        <v>3</v>
      </c>
      <c r="B121" s="41" t="s">
        <v>56</v>
      </c>
      <c r="C121" s="97">
        <f t="shared" ref="C121:E121" si="82">C122+C123</f>
        <v>127053.59</v>
      </c>
      <c r="D121" s="97">
        <f t="shared" si="82"/>
        <v>72000</v>
      </c>
      <c r="E121" s="97">
        <f t="shared" si="82"/>
        <v>22000</v>
      </c>
      <c r="F121" s="97">
        <f t="shared" ref="F121" si="83">F122+F123</f>
        <v>21710.15</v>
      </c>
      <c r="G121" s="97">
        <f t="shared" si="80"/>
        <v>17.087395956304739</v>
      </c>
      <c r="H121" s="97">
        <f t="shared" si="81"/>
        <v>98.682500000000005</v>
      </c>
    </row>
    <row r="122" spans="1:8" x14ac:dyDescent="0.25">
      <c r="A122" s="52">
        <v>31</v>
      </c>
      <c r="B122" s="45" t="s">
        <v>43</v>
      </c>
      <c r="C122" s="96">
        <v>127053.59</v>
      </c>
      <c r="D122" s="96">
        <v>0</v>
      </c>
      <c r="E122" s="83">
        <v>0</v>
      </c>
      <c r="F122" s="83">
        <v>0</v>
      </c>
      <c r="G122" s="97">
        <f t="shared" si="80"/>
        <v>0</v>
      </c>
      <c r="H122" s="97" t="e">
        <f t="shared" si="81"/>
        <v>#DIV/0!</v>
      </c>
    </row>
    <row r="123" spans="1:8" x14ac:dyDescent="0.25">
      <c r="A123" s="52">
        <v>32</v>
      </c>
      <c r="B123" s="45" t="s">
        <v>260</v>
      </c>
      <c r="C123" s="83">
        <v>0</v>
      </c>
      <c r="D123" s="83">
        <v>72000</v>
      </c>
      <c r="E123" s="83">
        <v>22000</v>
      </c>
      <c r="F123" s="83">
        <v>21710.15</v>
      </c>
      <c r="G123" s="97" t="e">
        <f t="shared" si="80"/>
        <v>#DIV/0!</v>
      </c>
      <c r="H123" s="97">
        <f t="shared" si="81"/>
        <v>98.682500000000005</v>
      </c>
    </row>
    <row r="124" spans="1:8" x14ac:dyDescent="0.25">
      <c r="A124" s="41">
        <v>4</v>
      </c>
      <c r="B124" s="41" t="s">
        <v>57</v>
      </c>
      <c r="C124" s="97">
        <f t="shared" ref="C124:E124" si="84">C125+C126</f>
        <v>0</v>
      </c>
      <c r="D124" s="97">
        <f t="shared" si="84"/>
        <v>80000</v>
      </c>
      <c r="E124" s="97">
        <f t="shared" si="84"/>
        <v>86000</v>
      </c>
      <c r="F124" s="97">
        <f t="shared" ref="F124" si="85">F125+F126</f>
        <v>88221.71</v>
      </c>
      <c r="G124" s="97" t="e">
        <f t="shared" si="80"/>
        <v>#DIV/0!</v>
      </c>
      <c r="H124" s="97">
        <f t="shared" si="81"/>
        <v>102.58338372093023</v>
      </c>
    </row>
    <row r="125" spans="1:8" x14ac:dyDescent="0.25">
      <c r="A125" s="52">
        <v>43</v>
      </c>
      <c r="B125" s="45" t="s">
        <v>55</v>
      </c>
      <c r="C125" s="83">
        <v>0</v>
      </c>
      <c r="D125" s="83">
        <v>0</v>
      </c>
      <c r="E125" s="83">
        <v>0</v>
      </c>
      <c r="F125" s="83">
        <v>0</v>
      </c>
      <c r="G125" s="97" t="e">
        <f t="shared" si="80"/>
        <v>#DIV/0!</v>
      </c>
      <c r="H125" s="97" t="e">
        <f t="shared" si="81"/>
        <v>#DIV/0!</v>
      </c>
    </row>
    <row r="126" spans="1:8" x14ac:dyDescent="0.25">
      <c r="A126" s="52">
        <v>47</v>
      </c>
      <c r="B126" s="45" t="s">
        <v>251</v>
      </c>
      <c r="C126" s="83">
        <v>0</v>
      </c>
      <c r="D126" s="83">
        <v>80000</v>
      </c>
      <c r="E126" s="83">
        <v>86000</v>
      </c>
      <c r="F126" s="83">
        <v>88221.71</v>
      </c>
      <c r="G126" s="97" t="e">
        <f t="shared" si="80"/>
        <v>#DIV/0!</v>
      </c>
      <c r="H126" s="97">
        <f t="shared" si="81"/>
        <v>102.58338372093023</v>
      </c>
    </row>
    <row r="127" spans="1:8" x14ac:dyDescent="0.25">
      <c r="A127" s="41">
        <v>5</v>
      </c>
      <c r="B127" s="41" t="s">
        <v>255</v>
      </c>
      <c r="C127" s="97">
        <f>C128+C129+C130+C131+C132</f>
        <v>82760.990000000005</v>
      </c>
      <c r="D127" s="97">
        <f t="shared" ref="D127:E127" si="86">D128+D129+D130+D131+D132</f>
        <v>63514</v>
      </c>
      <c r="E127" s="97">
        <f t="shared" si="86"/>
        <v>116555.67000000001</v>
      </c>
      <c r="F127" s="97">
        <f t="shared" ref="F127" si="87">F128+F129+F130+F131+F132</f>
        <v>80128.100000000006</v>
      </c>
      <c r="G127" s="97">
        <f t="shared" si="80"/>
        <v>96.818682328473841</v>
      </c>
      <c r="H127" s="97">
        <f t="shared" si="81"/>
        <v>68.74663411912951</v>
      </c>
    </row>
    <row r="128" spans="1:8" x14ac:dyDescent="0.25">
      <c r="A128" s="52">
        <v>50</v>
      </c>
      <c r="B128" s="45" t="s">
        <v>254</v>
      </c>
      <c r="C128" s="83">
        <v>0</v>
      </c>
      <c r="D128" s="83">
        <v>0</v>
      </c>
      <c r="E128" s="83">
        <v>0</v>
      </c>
      <c r="F128" s="83">
        <v>0</v>
      </c>
      <c r="G128" s="97" t="e">
        <f t="shared" si="80"/>
        <v>#DIV/0!</v>
      </c>
      <c r="H128" s="97" t="e">
        <f t="shared" si="81"/>
        <v>#DIV/0!</v>
      </c>
    </row>
    <row r="129" spans="1:9" x14ac:dyDescent="0.25">
      <c r="A129" s="52">
        <v>51</v>
      </c>
      <c r="B129" s="45" t="s">
        <v>182</v>
      </c>
      <c r="C129" s="96">
        <v>82760.990000000005</v>
      </c>
      <c r="D129" s="96">
        <v>53514</v>
      </c>
      <c r="E129" s="83">
        <v>43160.630000000005</v>
      </c>
      <c r="F129" s="83">
        <v>34260.980000000003</v>
      </c>
      <c r="G129" s="97">
        <f t="shared" si="80"/>
        <v>41.397498990768476</v>
      </c>
      <c r="H129" s="97">
        <f t="shared" si="81"/>
        <v>79.380166600904573</v>
      </c>
    </row>
    <row r="130" spans="1:9" x14ac:dyDescent="0.25">
      <c r="A130" s="52">
        <v>53</v>
      </c>
      <c r="B130" s="45" t="s">
        <v>257</v>
      </c>
      <c r="C130" s="83">
        <v>0</v>
      </c>
      <c r="D130" s="83">
        <v>10000</v>
      </c>
      <c r="E130" s="83">
        <v>45465.04</v>
      </c>
      <c r="F130" s="83">
        <v>12446.4</v>
      </c>
      <c r="G130" s="97" t="e">
        <f t="shared" si="80"/>
        <v>#DIV/0!</v>
      </c>
      <c r="H130" s="97">
        <f t="shared" si="81"/>
        <v>27.375759484650182</v>
      </c>
    </row>
    <row r="131" spans="1:9" x14ac:dyDescent="0.25">
      <c r="A131" s="52">
        <v>56</v>
      </c>
      <c r="B131" s="45" t="s">
        <v>258</v>
      </c>
      <c r="C131" s="83">
        <v>0</v>
      </c>
      <c r="D131" s="83">
        <v>0</v>
      </c>
      <c r="E131" s="83">
        <v>27930</v>
      </c>
      <c r="F131" s="83">
        <f>22653.5+10767.22</f>
        <v>33420.720000000001</v>
      </c>
      <c r="G131" s="97" t="e">
        <f t="shared" si="80"/>
        <v>#DIV/0!</v>
      </c>
      <c r="H131" s="97">
        <f t="shared" si="81"/>
        <v>119.65886143931257</v>
      </c>
    </row>
    <row r="132" spans="1:9" x14ac:dyDescent="0.25">
      <c r="A132" s="52">
        <v>57</v>
      </c>
      <c r="B132" s="45" t="s">
        <v>259</v>
      </c>
      <c r="C132" s="83">
        <v>0</v>
      </c>
      <c r="D132" s="83">
        <v>0</v>
      </c>
      <c r="E132" s="83">
        <v>0</v>
      </c>
      <c r="F132" s="83">
        <v>0</v>
      </c>
      <c r="G132" s="97" t="e">
        <f t="shared" si="80"/>
        <v>#DIV/0!</v>
      </c>
      <c r="H132" s="97" t="e">
        <f t="shared" si="81"/>
        <v>#DIV/0!</v>
      </c>
    </row>
    <row r="133" spans="1:9" x14ac:dyDescent="0.25">
      <c r="A133" s="41">
        <v>6</v>
      </c>
      <c r="B133" s="41" t="s">
        <v>253</v>
      </c>
      <c r="C133" s="97">
        <f>C134+C135</f>
        <v>8000</v>
      </c>
      <c r="D133" s="97">
        <f t="shared" ref="D133:E133" si="88">D134+D135</f>
        <v>0</v>
      </c>
      <c r="E133" s="97">
        <f t="shared" si="88"/>
        <v>32709.919999999998</v>
      </c>
      <c r="F133" s="97">
        <f t="shared" ref="F133" si="89">F134+F135</f>
        <v>33244.47</v>
      </c>
      <c r="G133" s="97">
        <f t="shared" si="80"/>
        <v>415.55587500000001</v>
      </c>
      <c r="H133" s="97">
        <f t="shared" si="81"/>
        <v>101.63421371865171</v>
      </c>
    </row>
    <row r="134" spans="1:9" x14ac:dyDescent="0.25">
      <c r="A134" s="52">
        <v>61</v>
      </c>
      <c r="B134" s="45" t="s">
        <v>256</v>
      </c>
      <c r="C134" s="96">
        <v>8000</v>
      </c>
      <c r="D134" s="96">
        <v>0</v>
      </c>
      <c r="E134" s="83">
        <v>0</v>
      </c>
      <c r="F134" s="83">
        <v>0</v>
      </c>
      <c r="G134" s="97">
        <f t="shared" si="80"/>
        <v>0</v>
      </c>
      <c r="H134" s="97" t="e">
        <f t="shared" si="81"/>
        <v>#DIV/0!</v>
      </c>
    </row>
    <row r="135" spans="1:9" x14ac:dyDescent="0.25">
      <c r="A135" s="52">
        <v>62</v>
      </c>
      <c r="B135" s="45" t="s">
        <v>252</v>
      </c>
      <c r="C135" s="83">
        <v>0</v>
      </c>
      <c r="D135" s="83">
        <v>0</v>
      </c>
      <c r="E135" s="83">
        <v>32709.919999999998</v>
      </c>
      <c r="F135" s="83">
        <f>33244.47</f>
        <v>33244.47</v>
      </c>
      <c r="G135" s="97" t="e">
        <f t="shared" si="80"/>
        <v>#DIV/0!</v>
      </c>
      <c r="H135" s="97">
        <f t="shared" si="81"/>
        <v>101.63421371865171</v>
      </c>
    </row>
    <row r="136" spans="1:9" x14ac:dyDescent="0.25">
      <c r="A136" s="41">
        <v>9</v>
      </c>
      <c r="B136" s="107" t="s">
        <v>277</v>
      </c>
      <c r="C136" s="97">
        <f>C137</f>
        <v>0</v>
      </c>
      <c r="D136" s="97">
        <f t="shared" ref="D136:F136" si="90">D137</f>
        <v>0</v>
      </c>
      <c r="E136" s="97">
        <f t="shared" si="90"/>
        <v>773351.23</v>
      </c>
      <c r="F136" s="97">
        <f t="shared" si="90"/>
        <v>0</v>
      </c>
      <c r="G136" s="97" t="e">
        <f t="shared" si="80"/>
        <v>#DIV/0!</v>
      </c>
      <c r="H136" s="97">
        <f t="shared" si="81"/>
        <v>0</v>
      </c>
    </row>
    <row r="137" spans="1:9" x14ac:dyDescent="0.25">
      <c r="A137" s="52">
        <v>91</v>
      </c>
      <c r="B137" s="108" t="s">
        <v>277</v>
      </c>
      <c r="C137" s="83">
        <v>0</v>
      </c>
      <c r="D137" s="83">
        <v>0</v>
      </c>
      <c r="E137" s="83">
        <v>773351.23</v>
      </c>
      <c r="F137" s="83">
        <v>0</v>
      </c>
      <c r="G137" s="97" t="e">
        <f t="shared" si="80"/>
        <v>#DIV/0!</v>
      </c>
      <c r="H137" s="97">
        <f t="shared" si="81"/>
        <v>0</v>
      </c>
    </row>
    <row r="138" spans="1:9" x14ac:dyDescent="0.25">
      <c r="C138" s="32"/>
      <c r="D138" s="32"/>
      <c r="E138" s="32"/>
      <c r="F138" s="32"/>
    </row>
    <row r="139" spans="1:9" x14ac:dyDescent="0.25">
      <c r="C139" s="32"/>
      <c r="D139" s="32"/>
      <c r="E139" s="32"/>
      <c r="F139" s="32"/>
    </row>
    <row r="140" spans="1:9" ht="38.25" x14ac:dyDescent="0.25">
      <c r="A140" s="36" t="s">
        <v>41</v>
      </c>
      <c r="B140" s="37" t="s">
        <v>22</v>
      </c>
      <c r="C140" s="77" t="s">
        <v>73</v>
      </c>
      <c r="D140" s="77" t="s">
        <v>275</v>
      </c>
      <c r="E140" s="77" t="s">
        <v>283</v>
      </c>
      <c r="F140" s="77" t="s">
        <v>286</v>
      </c>
      <c r="G140" s="78" t="s">
        <v>276</v>
      </c>
      <c r="H140" s="78" t="s">
        <v>276</v>
      </c>
    </row>
    <row r="141" spans="1:9" s="40" customFormat="1" ht="11.25" x14ac:dyDescent="0.2">
      <c r="A141" s="39">
        <v>1</v>
      </c>
      <c r="B141" s="39">
        <v>2</v>
      </c>
      <c r="C141" s="103">
        <v>3</v>
      </c>
      <c r="D141" s="103">
        <v>4</v>
      </c>
      <c r="E141" s="103">
        <v>5</v>
      </c>
      <c r="F141" s="103">
        <v>6</v>
      </c>
      <c r="G141" s="124" t="s">
        <v>291</v>
      </c>
      <c r="H141" s="124" t="s">
        <v>292</v>
      </c>
    </row>
    <row r="142" spans="1:9" x14ac:dyDescent="0.25">
      <c r="A142" s="41"/>
      <c r="B142" s="41" t="s">
        <v>34</v>
      </c>
      <c r="C142" s="97">
        <f>C143+C146+C149+C152+C158</f>
        <v>1389265.32</v>
      </c>
      <c r="D142" s="97">
        <f t="shared" ref="D142" si="91">D143+D146+D149+D152+D158</f>
        <v>1660647</v>
      </c>
      <c r="E142" s="97">
        <f>E143+E146+E149+E152+E158+E161</f>
        <v>2472633.91</v>
      </c>
      <c r="F142" s="97">
        <f>F143+F146+F149+F152+F158+F161</f>
        <v>1603276.9899999998</v>
      </c>
      <c r="G142" s="97">
        <f>F142/C142*100</f>
        <v>115.40466510745404</v>
      </c>
      <c r="H142" s="97">
        <f>F142/E142*100</f>
        <v>64.840855879065401</v>
      </c>
      <c r="I142" s="85"/>
    </row>
    <row r="143" spans="1:9" x14ac:dyDescent="0.25">
      <c r="A143" s="41">
        <v>1</v>
      </c>
      <c r="B143" s="41" t="s">
        <v>42</v>
      </c>
      <c r="C143" s="97">
        <f t="shared" ref="C143:E143" si="92">C144+C145</f>
        <v>1223317.56</v>
      </c>
      <c r="D143" s="97">
        <f t="shared" si="92"/>
        <v>1445133</v>
      </c>
      <c r="E143" s="97">
        <f t="shared" si="92"/>
        <v>1471440.1800000002</v>
      </c>
      <c r="F143" s="97">
        <f t="shared" ref="F143" si="93">F144+F145</f>
        <v>1364157.23</v>
      </c>
      <c r="G143" s="97">
        <f t="shared" ref="G143:G162" si="94">F143/C143*100</f>
        <v>111.51292800865214</v>
      </c>
      <c r="H143" s="97">
        <f t="shared" ref="H143:H162" si="95">F143/E143*100</f>
        <v>92.708983249322429</v>
      </c>
      <c r="I143" s="85"/>
    </row>
    <row r="144" spans="1:9" x14ac:dyDescent="0.25">
      <c r="A144" s="51">
        <v>11</v>
      </c>
      <c r="B144" s="43" t="s">
        <v>42</v>
      </c>
      <c r="C144" s="90">
        <v>1223317.56</v>
      </c>
      <c r="D144" s="90">
        <v>1445133</v>
      </c>
      <c r="E144" s="83">
        <v>1339715.07</v>
      </c>
      <c r="F144" s="83">
        <f>'Posebni dio'!E10+'Posebni dio'!E14+'Posebni dio'!E33+'Posebni dio'!E54+'Posebni dio'!E59+'Posebni dio'!E70</f>
        <v>1271350.32</v>
      </c>
      <c r="G144" s="83">
        <f t="shared" si="94"/>
        <v>103.92643427762125</v>
      </c>
      <c r="H144" s="83">
        <f t="shared" si="95"/>
        <v>94.897067926540529</v>
      </c>
      <c r="I144" s="85"/>
    </row>
    <row r="145" spans="1:9" x14ac:dyDescent="0.25">
      <c r="A145" s="52">
        <v>15</v>
      </c>
      <c r="B145" s="102" t="s">
        <v>250</v>
      </c>
      <c r="C145" s="90">
        <v>0</v>
      </c>
      <c r="D145" s="90">
        <v>0</v>
      </c>
      <c r="E145" s="90">
        <v>131725.10999999999</v>
      </c>
      <c r="F145" s="90">
        <f>'Posebni dio'!E74+'Posebni dio'!E84+'Posebni dio'!E93</f>
        <v>92806.91</v>
      </c>
      <c r="G145" s="90" t="e">
        <f t="shared" si="94"/>
        <v>#DIV/0!</v>
      </c>
      <c r="H145" s="90">
        <f t="shared" si="95"/>
        <v>70.454987663324033</v>
      </c>
      <c r="I145" s="85"/>
    </row>
    <row r="146" spans="1:9" x14ac:dyDescent="0.25">
      <c r="A146" s="41">
        <v>3</v>
      </c>
      <c r="B146" s="41" t="s">
        <v>43</v>
      </c>
      <c r="C146" s="97">
        <f t="shared" ref="C146:E146" si="96">C147+C148</f>
        <v>126205.82</v>
      </c>
      <c r="D146" s="97">
        <f t="shared" si="96"/>
        <v>72000</v>
      </c>
      <c r="E146" s="97">
        <f t="shared" si="96"/>
        <v>22000</v>
      </c>
      <c r="F146" s="97">
        <f t="shared" ref="F146" si="97">F147+F148</f>
        <v>89573.18</v>
      </c>
      <c r="G146" s="97">
        <f t="shared" si="94"/>
        <v>70.973890110614548</v>
      </c>
      <c r="H146" s="97">
        <f t="shared" si="95"/>
        <v>407.15081818181818</v>
      </c>
      <c r="I146" s="85"/>
    </row>
    <row r="147" spans="1:9" x14ac:dyDescent="0.25">
      <c r="A147" s="52">
        <v>31</v>
      </c>
      <c r="B147" s="45" t="s">
        <v>43</v>
      </c>
      <c r="C147" s="90">
        <v>126205.82</v>
      </c>
      <c r="D147" s="90">
        <v>0</v>
      </c>
      <c r="E147" s="83">
        <v>0</v>
      </c>
      <c r="F147" s="83">
        <v>0</v>
      </c>
      <c r="G147" s="83">
        <f t="shared" si="94"/>
        <v>0</v>
      </c>
      <c r="H147" s="83" t="e">
        <f t="shared" si="95"/>
        <v>#DIV/0!</v>
      </c>
      <c r="I147" s="85"/>
    </row>
    <row r="148" spans="1:9" x14ac:dyDescent="0.25">
      <c r="A148" s="52">
        <v>32</v>
      </c>
      <c r="B148" s="45" t="s">
        <v>260</v>
      </c>
      <c r="C148" s="90">
        <v>0</v>
      </c>
      <c r="D148" s="106">
        <v>72000</v>
      </c>
      <c r="E148" s="90">
        <v>22000</v>
      </c>
      <c r="F148" s="90">
        <f>'Posebni dio'!E25+'Posebni dio'!E65</f>
        <v>89573.18</v>
      </c>
      <c r="G148" s="90" t="e">
        <f t="shared" si="94"/>
        <v>#DIV/0!</v>
      </c>
      <c r="H148" s="90">
        <f t="shared" si="95"/>
        <v>407.15081818181818</v>
      </c>
      <c r="I148" s="85"/>
    </row>
    <row r="149" spans="1:9" x14ac:dyDescent="0.25">
      <c r="A149" s="41">
        <v>4</v>
      </c>
      <c r="B149" s="41" t="s">
        <v>57</v>
      </c>
      <c r="C149" s="97">
        <f t="shared" ref="C149:E149" si="98">C150+C151</f>
        <v>0</v>
      </c>
      <c r="D149" s="97">
        <f t="shared" si="98"/>
        <v>80000</v>
      </c>
      <c r="E149" s="97">
        <f t="shared" si="98"/>
        <v>86000</v>
      </c>
      <c r="F149" s="97">
        <f t="shared" ref="F149" si="99">F150+F151</f>
        <v>80420.39</v>
      </c>
      <c r="G149" s="97" t="e">
        <f t="shared" si="94"/>
        <v>#DIV/0!</v>
      </c>
      <c r="H149" s="97">
        <f t="shared" si="95"/>
        <v>93.512081395348829</v>
      </c>
      <c r="I149" s="85"/>
    </row>
    <row r="150" spans="1:9" x14ac:dyDescent="0.25">
      <c r="A150" s="52">
        <v>43</v>
      </c>
      <c r="B150" s="45" t="s">
        <v>55</v>
      </c>
      <c r="C150" s="90">
        <v>0</v>
      </c>
      <c r="D150" s="90">
        <v>0</v>
      </c>
      <c r="E150" s="83">
        <v>0</v>
      </c>
      <c r="F150" s="83">
        <v>0</v>
      </c>
      <c r="G150" s="83" t="e">
        <f t="shared" si="94"/>
        <v>#DIV/0!</v>
      </c>
      <c r="H150" s="83" t="e">
        <f t="shared" si="95"/>
        <v>#DIV/0!</v>
      </c>
      <c r="I150" s="85"/>
    </row>
    <row r="151" spans="1:9" x14ac:dyDescent="0.25">
      <c r="A151" s="52">
        <v>47</v>
      </c>
      <c r="B151" s="45" t="s">
        <v>251</v>
      </c>
      <c r="C151" s="90">
        <v>0</v>
      </c>
      <c r="D151" s="106">
        <v>80000</v>
      </c>
      <c r="E151" s="90">
        <v>86000</v>
      </c>
      <c r="F151" s="90">
        <f>'Posebni dio'!E17</f>
        <v>80420.39</v>
      </c>
      <c r="G151" s="90" t="e">
        <f t="shared" si="94"/>
        <v>#DIV/0!</v>
      </c>
      <c r="H151" s="90">
        <f t="shared" si="95"/>
        <v>93.512081395348829</v>
      </c>
      <c r="I151" s="85"/>
    </row>
    <row r="152" spans="1:9" x14ac:dyDescent="0.25">
      <c r="A152" s="41">
        <v>5</v>
      </c>
      <c r="B152" s="41" t="s">
        <v>255</v>
      </c>
      <c r="C152" s="97">
        <f>C154+C155+C156+C157+C153</f>
        <v>29871.739999999998</v>
      </c>
      <c r="D152" s="97">
        <f>D154+D155+D156+D157+D153</f>
        <v>63514</v>
      </c>
      <c r="E152" s="97">
        <f>E154+E155+E156+E157+E153</f>
        <v>87132.58</v>
      </c>
      <c r="F152" s="97">
        <f>F154+F155+F156+F157+F153</f>
        <v>57095.69</v>
      </c>
      <c r="G152" s="97">
        <f t="shared" si="94"/>
        <v>191.13613736595192</v>
      </c>
      <c r="H152" s="97">
        <f t="shared" si="95"/>
        <v>65.527372195337264</v>
      </c>
      <c r="I152" s="85"/>
    </row>
    <row r="153" spans="1:9" x14ac:dyDescent="0.25">
      <c r="A153" s="52">
        <v>50</v>
      </c>
      <c r="B153" s="45" t="s">
        <v>254</v>
      </c>
      <c r="C153" s="96">
        <v>0</v>
      </c>
      <c r="D153" s="96">
        <v>0</v>
      </c>
      <c r="E153" s="90">
        <v>0</v>
      </c>
      <c r="F153" s="90">
        <v>0</v>
      </c>
      <c r="G153" s="90" t="e">
        <f t="shared" si="94"/>
        <v>#DIV/0!</v>
      </c>
      <c r="H153" s="90" t="e">
        <f t="shared" si="95"/>
        <v>#DIV/0!</v>
      </c>
      <c r="I153" s="85"/>
    </row>
    <row r="154" spans="1:9" x14ac:dyDescent="0.25">
      <c r="A154" s="52">
        <v>51</v>
      </c>
      <c r="B154" s="45" t="s">
        <v>182</v>
      </c>
      <c r="C154" s="96">
        <v>29871.739999999998</v>
      </c>
      <c r="D154" s="106">
        <v>53514</v>
      </c>
      <c r="E154" s="90">
        <v>43160.630000000005</v>
      </c>
      <c r="F154" s="90">
        <f>'Posebni dio'!E78+'Posebni dio'!E89</f>
        <v>8899.65</v>
      </c>
      <c r="G154" s="90">
        <f t="shared" si="94"/>
        <v>29.79287446931448</v>
      </c>
      <c r="H154" s="90">
        <f t="shared" si="95"/>
        <v>20.619833399095423</v>
      </c>
      <c r="I154" s="85"/>
    </row>
    <row r="155" spans="1:9" x14ac:dyDescent="0.25">
      <c r="A155" s="52">
        <v>53</v>
      </c>
      <c r="B155" s="45" t="s">
        <v>257</v>
      </c>
      <c r="C155" s="90">
        <v>0</v>
      </c>
      <c r="D155" s="106">
        <v>10000</v>
      </c>
      <c r="E155" s="90">
        <v>16041.95</v>
      </c>
      <c r="F155" s="90">
        <f>'Posebni dio'!E48</f>
        <v>20265.650000000001</v>
      </c>
      <c r="G155" s="90" t="e">
        <f t="shared" si="94"/>
        <v>#DIV/0!</v>
      </c>
      <c r="H155" s="90">
        <f t="shared" si="95"/>
        <v>126.32909340822032</v>
      </c>
      <c r="I155" s="85"/>
    </row>
    <row r="156" spans="1:9" x14ac:dyDescent="0.25">
      <c r="A156" s="52">
        <v>56</v>
      </c>
      <c r="B156" s="45" t="s">
        <v>258</v>
      </c>
      <c r="C156" s="90">
        <v>0</v>
      </c>
      <c r="D156" s="90">
        <v>0</v>
      </c>
      <c r="E156" s="90">
        <v>27930</v>
      </c>
      <c r="F156" s="90">
        <f>+'Posebni dio'!E103+'Posebni dio'!E108</f>
        <v>27930.39</v>
      </c>
      <c r="G156" s="90" t="e">
        <f t="shared" si="94"/>
        <v>#DIV/0!</v>
      </c>
      <c r="H156" s="90">
        <f t="shared" si="95"/>
        <v>100.00139634801289</v>
      </c>
      <c r="I156" s="85"/>
    </row>
    <row r="157" spans="1:9" x14ac:dyDescent="0.25">
      <c r="A157" s="52">
        <v>57</v>
      </c>
      <c r="B157" s="45" t="s">
        <v>259</v>
      </c>
      <c r="C157" s="90">
        <v>0</v>
      </c>
      <c r="D157" s="90">
        <v>0</v>
      </c>
      <c r="E157" s="83">
        <v>0</v>
      </c>
      <c r="F157" s="83">
        <v>0</v>
      </c>
      <c r="G157" s="83" t="e">
        <f t="shared" si="94"/>
        <v>#DIV/0!</v>
      </c>
      <c r="H157" s="83" t="e">
        <f t="shared" si="95"/>
        <v>#DIV/0!</v>
      </c>
      <c r="I157" s="85"/>
    </row>
    <row r="158" spans="1:9" x14ac:dyDescent="0.25">
      <c r="A158" s="41">
        <v>6</v>
      </c>
      <c r="B158" s="41" t="s">
        <v>253</v>
      </c>
      <c r="C158" s="97">
        <f>C159+C160</f>
        <v>9870.2000000000007</v>
      </c>
      <c r="D158" s="97">
        <f t="shared" ref="D158:E158" si="100">D159+D160</f>
        <v>0</v>
      </c>
      <c r="E158" s="97">
        <f t="shared" si="100"/>
        <v>32709.919999999998</v>
      </c>
      <c r="F158" s="97">
        <f t="shared" ref="F158" si="101">F159+F160</f>
        <v>12030.5</v>
      </c>
      <c r="G158" s="97">
        <f t="shared" si="94"/>
        <v>121.88709448643391</v>
      </c>
      <c r="H158" s="97">
        <f t="shared" si="95"/>
        <v>36.779362346346311</v>
      </c>
      <c r="I158" s="85"/>
    </row>
    <row r="159" spans="1:9" x14ac:dyDescent="0.25">
      <c r="A159" s="52">
        <v>61</v>
      </c>
      <c r="B159" s="45" t="s">
        <v>256</v>
      </c>
      <c r="C159" s="96">
        <v>9870.2000000000007</v>
      </c>
      <c r="D159" s="96">
        <v>0</v>
      </c>
      <c r="E159" s="83">
        <v>0</v>
      </c>
      <c r="F159" s="83">
        <v>0</v>
      </c>
      <c r="G159" s="83">
        <f t="shared" si="94"/>
        <v>0</v>
      </c>
      <c r="H159" s="83" t="e">
        <f t="shared" si="95"/>
        <v>#DIV/0!</v>
      </c>
      <c r="I159" s="85"/>
    </row>
    <row r="160" spans="1:9" x14ac:dyDescent="0.25">
      <c r="A160" s="52">
        <v>62</v>
      </c>
      <c r="B160" s="45" t="s">
        <v>252</v>
      </c>
      <c r="C160" s="90">
        <v>0</v>
      </c>
      <c r="D160" s="90">
        <v>0</v>
      </c>
      <c r="E160" s="90">
        <v>32709.919999999998</v>
      </c>
      <c r="F160" s="90">
        <f>'Posebni dio'!E37</f>
        <v>12030.5</v>
      </c>
      <c r="G160" s="90" t="e">
        <f t="shared" si="94"/>
        <v>#DIV/0!</v>
      </c>
      <c r="H160" s="90">
        <f t="shared" si="95"/>
        <v>36.779362346346311</v>
      </c>
      <c r="I160" s="85"/>
    </row>
    <row r="161" spans="1:9" x14ac:dyDescent="0.25">
      <c r="A161" s="41">
        <v>9</v>
      </c>
      <c r="B161" s="107" t="s">
        <v>277</v>
      </c>
      <c r="C161" s="97">
        <f>C162</f>
        <v>0</v>
      </c>
      <c r="D161" s="97">
        <f t="shared" ref="D161" si="102">D162</f>
        <v>0</v>
      </c>
      <c r="E161" s="97">
        <f t="shared" ref="E161:F161" si="103">E162</f>
        <v>773351.23</v>
      </c>
      <c r="F161" s="97">
        <f t="shared" si="103"/>
        <v>0</v>
      </c>
      <c r="G161" s="97" t="e">
        <f t="shared" si="94"/>
        <v>#DIV/0!</v>
      </c>
      <c r="H161" s="97">
        <f t="shared" si="95"/>
        <v>0</v>
      </c>
      <c r="I161" s="85"/>
    </row>
    <row r="162" spans="1:9" x14ac:dyDescent="0.25">
      <c r="A162" s="52">
        <v>91</v>
      </c>
      <c r="B162" s="108" t="s">
        <v>277</v>
      </c>
      <c r="C162" s="83">
        <v>0</v>
      </c>
      <c r="D162" s="83">
        <v>0</v>
      </c>
      <c r="E162" s="83">
        <v>773351.23</v>
      </c>
      <c r="F162" s="83">
        <v>0</v>
      </c>
      <c r="G162" s="83" t="e">
        <f t="shared" si="94"/>
        <v>#DIV/0!</v>
      </c>
      <c r="H162" s="83">
        <f t="shared" si="95"/>
        <v>0</v>
      </c>
      <c r="I162" s="85"/>
    </row>
    <row r="165" spans="1:9" ht="15.75" x14ac:dyDescent="0.25">
      <c r="B165" s="156" t="s">
        <v>44</v>
      </c>
      <c r="C165" s="156"/>
      <c r="D165" s="156"/>
      <c r="E165" s="156"/>
      <c r="F165" s="156"/>
    </row>
    <row r="166" spans="1:9" ht="18.75" x14ac:dyDescent="0.25">
      <c r="B166" s="31"/>
      <c r="C166" s="92"/>
      <c r="D166" s="92"/>
      <c r="E166" s="75"/>
      <c r="F166" s="75"/>
    </row>
    <row r="167" spans="1:9" ht="38.25" x14ac:dyDescent="0.25">
      <c r="A167" s="36" t="s">
        <v>41</v>
      </c>
      <c r="B167" s="37" t="s">
        <v>22</v>
      </c>
      <c r="C167" s="77" t="s">
        <v>73</v>
      </c>
      <c r="D167" s="77" t="s">
        <v>275</v>
      </c>
      <c r="E167" s="77" t="s">
        <v>283</v>
      </c>
      <c r="F167" s="77" t="s">
        <v>286</v>
      </c>
      <c r="G167" s="78" t="s">
        <v>276</v>
      </c>
      <c r="H167" s="78" t="s">
        <v>276</v>
      </c>
    </row>
    <row r="168" spans="1:9" x14ac:dyDescent="0.25">
      <c r="A168" s="39">
        <v>1</v>
      </c>
      <c r="B168" s="39">
        <v>2</v>
      </c>
      <c r="C168" s="103">
        <v>3</v>
      </c>
      <c r="D168" s="103">
        <v>4</v>
      </c>
      <c r="E168" s="103">
        <v>5</v>
      </c>
      <c r="F168" s="103">
        <v>6</v>
      </c>
      <c r="G168" s="124" t="s">
        <v>291</v>
      </c>
      <c r="H168" s="124" t="s">
        <v>292</v>
      </c>
    </row>
    <row r="169" spans="1:9" x14ac:dyDescent="0.25">
      <c r="A169" s="54"/>
      <c r="B169" s="41" t="s">
        <v>34</v>
      </c>
      <c r="C169" s="122">
        <f t="shared" ref="C169" si="104">C170</f>
        <v>1389265.32</v>
      </c>
      <c r="D169" s="122">
        <f>D170</f>
        <v>1660647</v>
      </c>
      <c r="E169" s="122">
        <f t="shared" ref="E169:F169" si="105">E170</f>
        <v>2472633.91</v>
      </c>
      <c r="F169" s="122">
        <f t="shared" si="105"/>
        <v>1603276.9899999998</v>
      </c>
      <c r="G169" s="122">
        <f>F169/C169*100</f>
        <v>115.40466510745404</v>
      </c>
      <c r="H169" s="122">
        <f>F169/E169*100</f>
        <v>64.840855879065401</v>
      </c>
    </row>
    <row r="170" spans="1:9" x14ac:dyDescent="0.25">
      <c r="A170" s="54" t="s">
        <v>176</v>
      </c>
      <c r="B170" s="41" t="s">
        <v>179</v>
      </c>
      <c r="C170" s="122">
        <f t="shared" ref="C170" si="106">C171</f>
        <v>1389265.32</v>
      </c>
      <c r="D170" s="122">
        <f>D171</f>
        <v>1660647</v>
      </c>
      <c r="E170" s="122">
        <f t="shared" ref="E170:F170" si="107">E171</f>
        <v>2472633.91</v>
      </c>
      <c r="F170" s="122">
        <f t="shared" si="107"/>
        <v>1603276.9899999998</v>
      </c>
      <c r="G170" s="122">
        <f t="shared" ref="G170:G171" si="108">F170/C170*100</f>
        <v>115.40466510745404</v>
      </c>
      <c r="H170" s="122">
        <f t="shared" ref="H170:H171" si="109">F170/E170*100</f>
        <v>64.840855879065401</v>
      </c>
    </row>
    <row r="171" spans="1:9" x14ac:dyDescent="0.25">
      <c r="A171" s="55" t="s">
        <v>177</v>
      </c>
      <c r="B171" s="43" t="s">
        <v>178</v>
      </c>
      <c r="C171" s="83">
        <v>1389265.32</v>
      </c>
      <c r="D171" s="83">
        <v>1660647</v>
      </c>
      <c r="E171" s="83">
        <v>2472633.91</v>
      </c>
      <c r="F171" s="83">
        <v>1603276.9899999998</v>
      </c>
      <c r="G171" s="83">
        <f t="shared" si="108"/>
        <v>115.40466510745404</v>
      </c>
      <c r="H171" s="83">
        <f t="shared" si="109"/>
        <v>64.840855879065401</v>
      </c>
    </row>
  </sheetData>
  <mergeCells count="4">
    <mergeCell ref="B165:F165"/>
    <mergeCell ref="A2:F2"/>
    <mergeCell ref="A4:F4"/>
    <mergeCell ref="A113:F113"/>
  </mergeCells>
  <pageMargins left="0.70866141732283472" right="0.70866141732283472" top="0.74803149606299213" bottom="0.74803149606299213" header="0.31496062992125984" footer="0.31496062992125984"/>
  <pageSetup paperSize="9" scale="67" fitToHeight="0" orientation="landscape" r:id="rId1"/>
  <rowBreaks count="2" manualBreakCount="2">
    <brk id="111" max="8" man="1"/>
    <brk id="163" max="8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F110"/>
  <sheetViews>
    <sheetView tabSelected="1" view="pageBreakPreview" zoomScaleNormal="70" zoomScaleSheetLayoutView="100" workbookViewId="0">
      <selection activeCell="D89" sqref="D89"/>
    </sheetView>
  </sheetViews>
  <sheetFormatPr defaultColWidth="8.85546875" defaultRowHeight="15" x14ac:dyDescent="0.25"/>
  <cols>
    <col min="1" max="1" width="35.28515625" style="32" customWidth="1"/>
    <col min="2" max="2" width="74.7109375" style="32" customWidth="1"/>
    <col min="3" max="3" width="25.5703125" style="85" customWidth="1"/>
    <col min="4" max="6" width="25.28515625" style="85" customWidth="1"/>
    <col min="7" max="16384" width="8.85546875" style="32"/>
  </cols>
  <sheetData>
    <row r="1" spans="1:6" ht="18.75" x14ac:dyDescent="0.25">
      <c r="A1" s="56"/>
      <c r="B1" s="31"/>
      <c r="C1" s="75"/>
      <c r="D1" s="76"/>
      <c r="E1" s="76"/>
      <c r="F1" s="76"/>
    </row>
    <row r="2" spans="1:6" ht="15.75" x14ac:dyDescent="0.25">
      <c r="A2" s="156" t="s">
        <v>53</v>
      </c>
      <c r="B2" s="157"/>
      <c r="C2" s="157"/>
      <c r="D2" s="157"/>
      <c r="E2" s="157"/>
      <c r="F2" s="157"/>
    </row>
    <row r="3" spans="1:6" ht="18.75" x14ac:dyDescent="0.25">
      <c r="A3" s="31"/>
      <c r="B3" s="31"/>
      <c r="C3" s="75"/>
      <c r="D3" s="76"/>
      <c r="E3" s="76"/>
      <c r="F3" s="76"/>
    </row>
    <row r="4" spans="1:6" ht="33.75" customHeight="1" x14ac:dyDescent="0.25">
      <c r="A4" s="36" t="s">
        <v>54</v>
      </c>
      <c r="B4" s="36" t="s">
        <v>22</v>
      </c>
      <c r="C4" s="78" t="s">
        <v>269</v>
      </c>
      <c r="D4" s="77" t="s">
        <v>287</v>
      </c>
      <c r="E4" s="77" t="s">
        <v>286</v>
      </c>
      <c r="F4" s="78" t="s">
        <v>276</v>
      </c>
    </row>
    <row r="5" spans="1:6" s="40" customFormat="1" ht="11.25" x14ac:dyDescent="0.2">
      <c r="A5" s="39">
        <v>1</v>
      </c>
      <c r="B5" s="39">
        <v>2</v>
      </c>
      <c r="C5" s="103">
        <v>3</v>
      </c>
      <c r="D5" s="103">
        <v>4</v>
      </c>
      <c r="E5" s="103">
        <v>5</v>
      </c>
      <c r="F5" s="103" t="s">
        <v>295</v>
      </c>
    </row>
    <row r="6" spans="1:6" ht="28.5" customHeight="1" x14ac:dyDescent="0.25">
      <c r="A6" s="72" t="s">
        <v>61</v>
      </c>
      <c r="B6" s="72" t="s">
        <v>62</v>
      </c>
      <c r="C6" s="79">
        <f>C7</f>
        <v>1660647</v>
      </c>
      <c r="D6" s="79">
        <f t="shared" ref="D6:E6" si="0">D7</f>
        <v>2472633.91</v>
      </c>
      <c r="E6" s="79">
        <f t="shared" si="0"/>
        <v>1603276.99</v>
      </c>
      <c r="F6" s="79">
        <f>E6/D6*100</f>
        <v>64.840855879065401</v>
      </c>
    </row>
    <row r="7" spans="1:6" ht="31.5" customHeight="1" x14ac:dyDescent="0.25">
      <c r="A7" s="70" t="s">
        <v>63</v>
      </c>
      <c r="B7" s="71" t="s">
        <v>64</v>
      </c>
      <c r="C7" s="80">
        <f>C8+C57+C68+C106</f>
        <v>1660647</v>
      </c>
      <c r="D7" s="80">
        <f>D8+D57+D68+D106</f>
        <v>2472633.91</v>
      </c>
      <c r="E7" s="80">
        <f>E8+E57+E68+E106</f>
        <v>1603276.99</v>
      </c>
      <c r="F7" s="80">
        <f t="shared" ref="F7:F64" si="1">E7/D7*100</f>
        <v>64.840855879065401</v>
      </c>
    </row>
    <row r="8" spans="1:6" s="58" customFormat="1" x14ac:dyDescent="0.25">
      <c r="A8" s="68" t="s">
        <v>65</v>
      </c>
      <c r="B8" s="69" t="s">
        <v>66</v>
      </c>
      <c r="C8" s="81">
        <f>C9+C13+C42+C32+C36+C24+C53</f>
        <v>1466486.58</v>
      </c>
      <c r="D8" s="81">
        <f>D9+D13+D42+D32+D36+D24+D53</f>
        <v>1362451.8699999999</v>
      </c>
      <c r="E8" s="81">
        <f>E9+E13+E42+E32+E36+E24+E53</f>
        <v>1261134.23</v>
      </c>
      <c r="F8" s="81">
        <f t="shared" si="1"/>
        <v>92.56358024595761</v>
      </c>
    </row>
    <row r="9" spans="1:6" x14ac:dyDescent="0.25">
      <c r="A9" s="73" t="s">
        <v>67</v>
      </c>
      <c r="B9" s="73" t="s">
        <v>68</v>
      </c>
      <c r="C9" s="82">
        <f t="shared" ref="C9:E10" si="2">C10</f>
        <v>1082040.94</v>
      </c>
      <c r="D9" s="82">
        <f t="shared" si="2"/>
        <v>1012000</v>
      </c>
      <c r="E9" s="82">
        <f t="shared" si="2"/>
        <v>973351.12</v>
      </c>
      <c r="F9" s="82">
        <f t="shared" si="1"/>
        <v>96.180940711462455</v>
      </c>
    </row>
    <row r="10" spans="1:6" x14ac:dyDescent="0.25">
      <c r="A10" s="125" t="s">
        <v>76</v>
      </c>
      <c r="B10" s="126" t="s">
        <v>69</v>
      </c>
      <c r="C10" s="127">
        <f t="shared" si="2"/>
        <v>1082040.94</v>
      </c>
      <c r="D10" s="127">
        <f>D11</f>
        <v>1012000</v>
      </c>
      <c r="E10" s="127">
        <f>E11</f>
        <v>973351.12</v>
      </c>
      <c r="F10" s="127">
        <f t="shared" si="1"/>
        <v>96.180940711462455</v>
      </c>
    </row>
    <row r="11" spans="1:6" x14ac:dyDescent="0.25">
      <c r="A11" s="59" t="s">
        <v>70</v>
      </c>
      <c r="B11" s="60" t="s">
        <v>35</v>
      </c>
      <c r="C11" s="83">
        <f>C12</f>
        <v>1082040.94</v>
      </c>
      <c r="D11" s="83">
        <f>D12</f>
        <v>1012000</v>
      </c>
      <c r="E11" s="83">
        <f>E12</f>
        <v>973351.12</v>
      </c>
      <c r="F11" s="83">
        <f t="shared" si="1"/>
        <v>96.180940711462455</v>
      </c>
    </row>
    <row r="12" spans="1:6" x14ac:dyDescent="0.25">
      <c r="A12" s="61" t="s">
        <v>72</v>
      </c>
      <c r="B12" s="60" t="s">
        <v>68</v>
      </c>
      <c r="C12" s="83">
        <v>1082040.94</v>
      </c>
      <c r="D12" s="83">
        <v>1012000</v>
      </c>
      <c r="E12" s="83">
        <v>973351.12</v>
      </c>
      <c r="F12" s="83">
        <f t="shared" si="1"/>
        <v>96.180940711462455</v>
      </c>
    </row>
    <row r="13" spans="1:6" x14ac:dyDescent="0.25">
      <c r="A13" s="74" t="s">
        <v>74</v>
      </c>
      <c r="B13" s="74" t="s">
        <v>75</v>
      </c>
      <c r="C13" s="84">
        <f>C14+C17+C21</f>
        <v>119180</v>
      </c>
      <c r="D13" s="84">
        <f t="shared" ref="D13:E13" si="3">D14+D17+D21</f>
        <v>292209.91999999998</v>
      </c>
      <c r="E13" s="84">
        <f t="shared" si="3"/>
        <v>229486.96000000002</v>
      </c>
      <c r="F13" s="84">
        <f t="shared" si="1"/>
        <v>78.534965548055325</v>
      </c>
    </row>
    <row r="14" spans="1:6" s="128" customFormat="1" x14ac:dyDescent="0.25">
      <c r="A14" s="125" t="s">
        <v>76</v>
      </c>
      <c r="B14" s="126" t="s">
        <v>69</v>
      </c>
      <c r="C14" s="127">
        <f t="shared" ref="C14:C15" si="4">C15</f>
        <v>119180</v>
      </c>
      <c r="D14" s="127">
        <f>D15</f>
        <v>189700</v>
      </c>
      <c r="E14" s="127">
        <f>E15</f>
        <v>149066.57</v>
      </c>
      <c r="F14" s="127">
        <f t="shared" si="1"/>
        <v>78.580163415919884</v>
      </c>
    </row>
    <row r="15" spans="1:6" x14ac:dyDescent="0.25">
      <c r="A15" s="59" t="s">
        <v>70</v>
      </c>
      <c r="B15" s="60" t="s">
        <v>35</v>
      </c>
      <c r="C15" s="83">
        <f t="shared" si="4"/>
        <v>119180</v>
      </c>
      <c r="D15" s="83">
        <f t="shared" ref="D15:E15" si="5">D16</f>
        <v>189700</v>
      </c>
      <c r="E15" s="83">
        <f t="shared" si="5"/>
        <v>149066.57</v>
      </c>
      <c r="F15" s="83">
        <f t="shared" si="1"/>
        <v>78.580163415919884</v>
      </c>
    </row>
    <row r="16" spans="1:6" x14ac:dyDescent="0.25">
      <c r="A16" s="61" t="s">
        <v>71</v>
      </c>
      <c r="B16" s="60" t="s">
        <v>75</v>
      </c>
      <c r="C16" s="83">
        <v>119180</v>
      </c>
      <c r="D16" s="83">
        <v>189700</v>
      </c>
      <c r="E16" s="83">
        <v>149066.57</v>
      </c>
      <c r="F16" s="83">
        <f t="shared" si="1"/>
        <v>78.580163415919884</v>
      </c>
    </row>
    <row r="17" spans="1:6" s="118" customFormat="1" x14ac:dyDescent="0.25">
      <c r="A17" s="125" t="s">
        <v>121</v>
      </c>
      <c r="B17" s="126" t="s">
        <v>77</v>
      </c>
      <c r="C17" s="127">
        <f>C18</f>
        <v>0</v>
      </c>
      <c r="D17" s="127">
        <f>D18</f>
        <v>86000</v>
      </c>
      <c r="E17" s="127">
        <f>E18</f>
        <v>80420.39</v>
      </c>
      <c r="F17" s="127">
        <f t="shared" si="1"/>
        <v>93.512081395348829</v>
      </c>
    </row>
    <row r="18" spans="1:6" x14ac:dyDescent="0.25">
      <c r="A18" s="59" t="s">
        <v>70</v>
      </c>
      <c r="B18" s="60" t="s">
        <v>35</v>
      </c>
      <c r="C18" s="83">
        <f>C19</f>
        <v>0</v>
      </c>
      <c r="D18" s="83">
        <f t="shared" ref="D18" si="6">D19</f>
        <v>86000</v>
      </c>
      <c r="E18" s="83">
        <f>E19+E20</f>
        <v>80420.39</v>
      </c>
      <c r="F18" s="83">
        <f t="shared" si="1"/>
        <v>93.512081395348829</v>
      </c>
    </row>
    <row r="19" spans="1:6" x14ac:dyDescent="0.25">
      <c r="A19" s="61" t="s">
        <v>71</v>
      </c>
      <c r="B19" s="60" t="s">
        <v>75</v>
      </c>
      <c r="C19" s="83">
        <v>0</v>
      </c>
      <c r="D19" s="83">
        <v>86000</v>
      </c>
      <c r="E19" s="83">
        <v>80318.19</v>
      </c>
      <c r="F19" s="83">
        <f t="shared" si="1"/>
        <v>93.393244186046502</v>
      </c>
    </row>
    <row r="20" spans="1:6" x14ac:dyDescent="0.25">
      <c r="A20" s="61" t="s">
        <v>82</v>
      </c>
      <c r="B20" s="60" t="s">
        <v>115</v>
      </c>
      <c r="C20" s="83"/>
      <c r="D20" s="83"/>
      <c r="E20" s="83">
        <v>102.2</v>
      </c>
      <c r="F20" s="83" t="e">
        <f t="shared" si="1"/>
        <v>#DIV/0!</v>
      </c>
    </row>
    <row r="21" spans="1:6" s="118" customFormat="1" x14ac:dyDescent="0.25">
      <c r="A21" s="125" t="s">
        <v>273</v>
      </c>
      <c r="B21" s="126" t="s">
        <v>274</v>
      </c>
      <c r="C21" s="127">
        <f>C22</f>
        <v>0</v>
      </c>
      <c r="D21" s="127">
        <f t="shared" ref="D21:E22" si="7">D22</f>
        <v>16509.919999999998</v>
      </c>
      <c r="E21" s="127">
        <f t="shared" si="7"/>
        <v>0</v>
      </c>
      <c r="F21" s="127">
        <f t="shared" si="1"/>
        <v>0</v>
      </c>
    </row>
    <row r="22" spans="1:6" x14ac:dyDescent="0.25">
      <c r="A22" s="59" t="s">
        <v>70</v>
      </c>
      <c r="B22" s="67" t="s">
        <v>35</v>
      </c>
      <c r="C22" s="83">
        <f>C23</f>
        <v>0</v>
      </c>
      <c r="D22" s="83">
        <f t="shared" si="7"/>
        <v>16509.919999999998</v>
      </c>
      <c r="E22" s="83">
        <f t="shared" si="7"/>
        <v>0</v>
      </c>
      <c r="F22" s="83">
        <f t="shared" si="1"/>
        <v>0</v>
      </c>
    </row>
    <row r="23" spans="1:6" x14ac:dyDescent="0.25">
      <c r="A23" s="61" t="s">
        <v>132</v>
      </c>
      <c r="B23" s="67" t="s">
        <v>237</v>
      </c>
      <c r="C23" s="83">
        <v>0</v>
      </c>
      <c r="D23" s="83">
        <v>16509.919999999998</v>
      </c>
      <c r="E23" s="83">
        <v>0</v>
      </c>
      <c r="F23" s="83">
        <f t="shared" si="1"/>
        <v>0</v>
      </c>
    </row>
    <row r="24" spans="1:6" x14ac:dyDescent="0.25">
      <c r="A24" s="74" t="s">
        <v>125</v>
      </c>
      <c r="B24" s="74" t="s">
        <v>126</v>
      </c>
      <c r="C24" s="84">
        <f>C25</f>
        <v>80000</v>
      </c>
      <c r="D24" s="84">
        <f t="shared" ref="D24:E24" si="8">D25</f>
        <v>0</v>
      </c>
      <c r="E24" s="84">
        <f t="shared" si="8"/>
        <v>0</v>
      </c>
      <c r="F24" s="84" t="e">
        <f t="shared" si="1"/>
        <v>#DIV/0!</v>
      </c>
    </row>
    <row r="25" spans="1:6" s="118" customFormat="1" x14ac:dyDescent="0.25">
      <c r="A25" s="125" t="s">
        <v>124</v>
      </c>
      <c r="B25" s="126" t="s">
        <v>43</v>
      </c>
      <c r="C25" s="127">
        <f>C26+C29</f>
        <v>80000</v>
      </c>
      <c r="D25" s="127">
        <f t="shared" ref="D25:E26" si="9">D26</f>
        <v>0</v>
      </c>
      <c r="E25" s="127">
        <f t="shared" si="9"/>
        <v>0</v>
      </c>
      <c r="F25" s="127" t="e">
        <f t="shared" si="1"/>
        <v>#DIV/0!</v>
      </c>
    </row>
    <row r="26" spans="1:6" x14ac:dyDescent="0.25">
      <c r="A26" s="59" t="s">
        <v>70</v>
      </c>
      <c r="B26" s="60" t="s">
        <v>35</v>
      </c>
      <c r="C26" s="83">
        <f>C27+C28</f>
        <v>80000</v>
      </c>
      <c r="D26" s="83">
        <f t="shared" si="9"/>
        <v>0</v>
      </c>
      <c r="E26" s="83">
        <f t="shared" si="9"/>
        <v>0</v>
      </c>
      <c r="F26" s="83" t="e">
        <f t="shared" si="1"/>
        <v>#DIV/0!</v>
      </c>
    </row>
    <row r="27" spans="1:6" x14ac:dyDescent="0.25">
      <c r="A27" s="61" t="s">
        <v>71</v>
      </c>
      <c r="B27" s="60" t="s">
        <v>75</v>
      </c>
      <c r="C27" s="83">
        <v>80000</v>
      </c>
      <c r="D27" s="83">
        <v>0</v>
      </c>
      <c r="E27" s="83">
        <v>0</v>
      </c>
      <c r="F27" s="83" t="e">
        <f t="shared" si="1"/>
        <v>#DIV/0!</v>
      </c>
    </row>
    <row r="28" spans="1:6" x14ac:dyDescent="0.25">
      <c r="A28" s="61" t="s">
        <v>82</v>
      </c>
      <c r="B28" s="60" t="s">
        <v>115</v>
      </c>
      <c r="C28" s="83">
        <v>0</v>
      </c>
      <c r="D28" s="83">
        <v>0</v>
      </c>
      <c r="E28" s="83">
        <v>0</v>
      </c>
      <c r="F28" s="83" t="e">
        <f t="shared" si="1"/>
        <v>#DIV/0!</v>
      </c>
    </row>
    <row r="29" spans="1:6" x14ac:dyDescent="0.25">
      <c r="A29" s="59" t="s">
        <v>93</v>
      </c>
      <c r="B29" s="67" t="s">
        <v>38</v>
      </c>
      <c r="C29" s="83">
        <f>C30+C31</f>
        <v>0</v>
      </c>
      <c r="D29" s="83">
        <f t="shared" ref="D29" si="10">D30+D31</f>
        <v>0</v>
      </c>
      <c r="E29" s="83">
        <f t="shared" ref="E29" si="11">E30+E31</f>
        <v>0</v>
      </c>
      <c r="F29" s="83" t="e">
        <f t="shared" si="1"/>
        <v>#DIV/0!</v>
      </c>
    </row>
    <row r="30" spans="1:6" x14ac:dyDescent="0.25">
      <c r="A30" s="61" t="s">
        <v>92</v>
      </c>
      <c r="B30" s="67" t="s">
        <v>113</v>
      </c>
      <c r="C30" s="83">
        <v>0</v>
      </c>
      <c r="D30" s="83">
        <v>0</v>
      </c>
      <c r="E30" s="83">
        <v>0</v>
      </c>
      <c r="F30" s="83" t="e">
        <f t="shared" si="1"/>
        <v>#DIV/0!</v>
      </c>
    </row>
    <row r="31" spans="1:6" x14ac:dyDescent="0.25">
      <c r="A31" s="61" t="s">
        <v>96</v>
      </c>
      <c r="B31" s="67" t="s">
        <v>114</v>
      </c>
      <c r="C31" s="83">
        <v>0</v>
      </c>
      <c r="D31" s="83">
        <v>0</v>
      </c>
      <c r="E31" s="83">
        <v>0</v>
      </c>
      <c r="F31" s="83" t="e">
        <f t="shared" si="1"/>
        <v>#DIV/0!</v>
      </c>
    </row>
    <row r="32" spans="1:6" x14ac:dyDescent="0.25">
      <c r="A32" s="74" t="s">
        <v>122</v>
      </c>
      <c r="B32" s="74" t="s">
        <v>123</v>
      </c>
      <c r="C32" s="84">
        <f t="shared" ref="C32:C34" si="12">C33</f>
        <v>30000</v>
      </c>
      <c r="D32" s="84">
        <f t="shared" ref="D32:E32" si="13">D33</f>
        <v>26000</v>
      </c>
      <c r="E32" s="84">
        <f t="shared" si="13"/>
        <v>26000</v>
      </c>
      <c r="F32" s="84">
        <f t="shared" si="1"/>
        <v>100</v>
      </c>
    </row>
    <row r="33" spans="1:6" s="118" customFormat="1" x14ac:dyDescent="0.25">
      <c r="A33" s="125" t="s">
        <v>76</v>
      </c>
      <c r="B33" s="126" t="s">
        <v>69</v>
      </c>
      <c r="C33" s="127">
        <f t="shared" si="12"/>
        <v>30000</v>
      </c>
      <c r="D33" s="127">
        <f t="shared" ref="D33:E34" si="14">D34</f>
        <v>26000</v>
      </c>
      <c r="E33" s="127">
        <f t="shared" si="14"/>
        <v>26000</v>
      </c>
      <c r="F33" s="127">
        <f t="shared" si="1"/>
        <v>100</v>
      </c>
    </row>
    <row r="34" spans="1:6" x14ac:dyDescent="0.25">
      <c r="A34" s="59" t="s">
        <v>70</v>
      </c>
      <c r="B34" s="60" t="s">
        <v>35</v>
      </c>
      <c r="C34" s="83">
        <f t="shared" si="12"/>
        <v>30000</v>
      </c>
      <c r="D34" s="83">
        <f t="shared" si="14"/>
        <v>26000</v>
      </c>
      <c r="E34" s="83">
        <f t="shared" si="14"/>
        <v>26000</v>
      </c>
      <c r="F34" s="83">
        <f t="shared" si="1"/>
        <v>100</v>
      </c>
    </row>
    <row r="35" spans="1:6" x14ac:dyDescent="0.25">
      <c r="A35" s="61" t="s">
        <v>71</v>
      </c>
      <c r="B35" s="60" t="s">
        <v>75</v>
      </c>
      <c r="C35" s="83">
        <v>30000</v>
      </c>
      <c r="D35" s="83">
        <v>26000</v>
      </c>
      <c r="E35" s="83">
        <v>26000</v>
      </c>
      <c r="F35" s="83">
        <f t="shared" si="1"/>
        <v>100</v>
      </c>
    </row>
    <row r="36" spans="1:6" x14ac:dyDescent="0.25">
      <c r="A36" s="74" t="s">
        <v>94</v>
      </c>
      <c r="B36" s="74" t="s">
        <v>116</v>
      </c>
      <c r="C36" s="84">
        <f>C37</f>
        <v>0</v>
      </c>
      <c r="D36" s="84">
        <f>D37</f>
        <v>16200</v>
      </c>
      <c r="E36" s="84">
        <f>E37</f>
        <v>12030.5</v>
      </c>
      <c r="F36" s="84">
        <f t="shared" si="1"/>
        <v>74.262345679012341</v>
      </c>
    </row>
    <row r="37" spans="1:6" s="118" customFormat="1" x14ac:dyDescent="0.25">
      <c r="A37" s="125" t="s">
        <v>290</v>
      </c>
      <c r="B37" s="126" t="s">
        <v>95</v>
      </c>
      <c r="C37" s="127">
        <f>C38+C40</f>
        <v>0</v>
      </c>
      <c r="D37" s="127">
        <f t="shared" ref="D37:E37" si="15">D38+D40</f>
        <v>16200</v>
      </c>
      <c r="E37" s="127">
        <f t="shared" si="15"/>
        <v>12030.5</v>
      </c>
      <c r="F37" s="127">
        <f t="shared" si="1"/>
        <v>74.262345679012341</v>
      </c>
    </row>
    <row r="38" spans="1:6" x14ac:dyDescent="0.25">
      <c r="A38" s="59" t="s">
        <v>70</v>
      </c>
      <c r="B38" s="60" t="s">
        <v>35</v>
      </c>
      <c r="C38" s="83">
        <f>C39</f>
        <v>0</v>
      </c>
      <c r="D38" s="83">
        <f t="shared" ref="D38:E38" si="16">D39</f>
        <v>9300</v>
      </c>
      <c r="E38" s="83">
        <f t="shared" si="16"/>
        <v>5427.04</v>
      </c>
      <c r="F38" s="83">
        <f t="shared" si="1"/>
        <v>58.355268817204298</v>
      </c>
    </row>
    <row r="39" spans="1:6" x14ac:dyDescent="0.25">
      <c r="A39" s="61" t="s">
        <v>71</v>
      </c>
      <c r="B39" s="60" t="s">
        <v>75</v>
      </c>
      <c r="C39" s="83">
        <v>0</v>
      </c>
      <c r="D39" s="83">
        <v>9300</v>
      </c>
      <c r="E39" s="83">
        <v>5427.04</v>
      </c>
      <c r="F39" s="83">
        <f t="shared" si="1"/>
        <v>58.355268817204298</v>
      </c>
    </row>
    <row r="40" spans="1:6" x14ac:dyDescent="0.25">
      <c r="A40" s="59" t="s">
        <v>93</v>
      </c>
      <c r="B40" s="60" t="s">
        <v>38</v>
      </c>
      <c r="C40" s="83">
        <f>C41</f>
        <v>0</v>
      </c>
      <c r="D40" s="83">
        <f t="shared" ref="D40:E40" si="17">D41</f>
        <v>6900</v>
      </c>
      <c r="E40" s="83">
        <f t="shared" si="17"/>
        <v>6603.4599999999991</v>
      </c>
      <c r="F40" s="83">
        <f t="shared" si="1"/>
        <v>95.702318840579693</v>
      </c>
    </row>
    <row r="41" spans="1:6" x14ac:dyDescent="0.25">
      <c r="A41" s="61" t="s">
        <v>96</v>
      </c>
      <c r="B41" s="67" t="s">
        <v>114</v>
      </c>
      <c r="C41" s="83">
        <v>0</v>
      </c>
      <c r="D41" s="83">
        <f>2400+4500</f>
        <v>6900</v>
      </c>
      <c r="E41" s="83">
        <v>6603.4599999999991</v>
      </c>
      <c r="F41" s="83">
        <f t="shared" si="1"/>
        <v>95.702318840579693</v>
      </c>
    </row>
    <row r="42" spans="1:6" x14ac:dyDescent="0.25">
      <c r="A42" s="74" t="s">
        <v>84</v>
      </c>
      <c r="B42" s="74" t="s">
        <v>87</v>
      </c>
      <c r="C42" s="84">
        <f t="shared" ref="C42:C43" si="18">C43</f>
        <v>10000</v>
      </c>
      <c r="D42" s="84">
        <f t="shared" ref="D42" si="19">D43</f>
        <v>16041.95</v>
      </c>
      <c r="E42" s="84">
        <f>E43+E48</f>
        <v>20265.650000000001</v>
      </c>
      <c r="F42" s="84">
        <f t="shared" si="1"/>
        <v>126.32909340822032</v>
      </c>
    </row>
    <row r="43" spans="1:6" s="118" customFormat="1" x14ac:dyDescent="0.25">
      <c r="A43" s="125" t="s">
        <v>85</v>
      </c>
      <c r="B43" s="126" t="s">
        <v>86</v>
      </c>
      <c r="C43" s="127">
        <f t="shared" si="18"/>
        <v>10000</v>
      </c>
      <c r="D43" s="127">
        <f t="shared" ref="D43:E43" si="20">D44</f>
        <v>16041.95</v>
      </c>
      <c r="E43" s="127">
        <f t="shared" si="20"/>
        <v>0</v>
      </c>
      <c r="F43" s="127">
        <f t="shared" si="1"/>
        <v>0</v>
      </c>
    </row>
    <row r="44" spans="1:6" x14ac:dyDescent="0.25">
      <c r="A44" s="59" t="s">
        <v>70</v>
      </c>
      <c r="B44" s="60" t="s">
        <v>35</v>
      </c>
      <c r="C44" s="83">
        <f>C45+C46+C47</f>
        <v>10000</v>
      </c>
      <c r="D44" s="83">
        <f t="shared" ref="D44" si="21">D45+D46+D47</f>
        <v>16041.95</v>
      </c>
      <c r="E44" s="83">
        <f t="shared" ref="E44" si="22">E45+E46+E47</f>
        <v>0</v>
      </c>
      <c r="F44" s="83">
        <f t="shared" si="1"/>
        <v>0</v>
      </c>
    </row>
    <row r="45" spans="1:6" x14ac:dyDescent="0.25">
      <c r="A45" s="61" t="s">
        <v>72</v>
      </c>
      <c r="B45" s="60" t="s">
        <v>68</v>
      </c>
      <c r="C45" s="83">
        <v>0</v>
      </c>
      <c r="D45" s="83">
        <v>1237</v>
      </c>
      <c r="E45" s="83">
        <v>0</v>
      </c>
      <c r="F45" s="83">
        <f t="shared" si="1"/>
        <v>0</v>
      </c>
    </row>
    <row r="46" spans="1:6" x14ac:dyDescent="0.25">
      <c r="A46" s="61" t="s">
        <v>71</v>
      </c>
      <c r="B46" s="60" t="s">
        <v>75</v>
      </c>
      <c r="C46" s="83">
        <v>1300</v>
      </c>
      <c r="D46" s="83">
        <f>750+1197.75+12857.2</f>
        <v>14804.95</v>
      </c>
      <c r="E46" s="83">
        <v>0</v>
      </c>
      <c r="F46" s="83">
        <f t="shared" si="1"/>
        <v>0</v>
      </c>
    </row>
    <row r="47" spans="1:6" x14ac:dyDescent="0.25">
      <c r="A47" s="61" t="s">
        <v>127</v>
      </c>
      <c r="B47" s="60" t="s">
        <v>128</v>
      </c>
      <c r="C47" s="83">
        <v>8700</v>
      </c>
      <c r="D47" s="83">
        <v>0</v>
      </c>
      <c r="E47" s="83">
        <v>0</v>
      </c>
      <c r="F47" s="83" t="e">
        <f t="shared" si="1"/>
        <v>#DIV/0!</v>
      </c>
    </row>
    <row r="48" spans="1:6" s="118" customFormat="1" x14ac:dyDescent="0.25">
      <c r="A48" s="125" t="s">
        <v>289</v>
      </c>
      <c r="B48" s="126" t="s">
        <v>86</v>
      </c>
      <c r="C48" s="127"/>
      <c r="D48" s="127"/>
      <c r="E48" s="127">
        <f>E49</f>
        <v>20265.650000000001</v>
      </c>
      <c r="F48" s="127" t="e">
        <f t="shared" si="1"/>
        <v>#DIV/0!</v>
      </c>
    </row>
    <row r="49" spans="1:6" x14ac:dyDescent="0.25">
      <c r="A49" s="59" t="s">
        <v>70</v>
      </c>
      <c r="B49" s="60" t="s">
        <v>35</v>
      </c>
      <c r="C49" s="83"/>
      <c r="D49" s="83"/>
      <c r="E49" s="83">
        <f>SUM(E50:E52)</f>
        <v>20265.650000000001</v>
      </c>
      <c r="F49" s="83" t="e">
        <f t="shared" si="1"/>
        <v>#DIV/0!</v>
      </c>
    </row>
    <row r="50" spans="1:6" x14ac:dyDescent="0.25">
      <c r="A50" s="61" t="s">
        <v>72</v>
      </c>
      <c r="B50" s="60" t="s">
        <v>68</v>
      </c>
      <c r="C50" s="83"/>
      <c r="D50" s="83"/>
      <c r="E50" s="83">
        <v>1237</v>
      </c>
      <c r="F50" s="83" t="e">
        <f t="shared" si="1"/>
        <v>#DIV/0!</v>
      </c>
    </row>
    <row r="51" spans="1:6" x14ac:dyDescent="0.25">
      <c r="A51" s="61" t="s">
        <v>71</v>
      </c>
      <c r="B51" s="60" t="s">
        <v>75</v>
      </c>
      <c r="C51" s="83"/>
      <c r="D51" s="83"/>
      <c r="E51" s="83">
        <v>15340.65</v>
      </c>
      <c r="F51" s="83" t="e">
        <f t="shared" si="1"/>
        <v>#DIV/0!</v>
      </c>
    </row>
    <row r="52" spans="1:6" x14ac:dyDescent="0.25">
      <c r="A52" s="61" t="s">
        <v>132</v>
      </c>
      <c r="B52" s="67" t="s">
        <v>237</v>
      </c>
      <c r="C52" s="83"/>
      <c r="D52" s="83"/>
      <c r="E52" s="83">
        <v>3688</v>
      </c>
      <c r="F52" s="83" t="e">
        <f t="shared" si="1"/>
        <v>#DIV/0!</v>
      </c>
    </row>
    <row r="53" spans="1:6" x14ac:dyDescent="0.25">
      <c r="A53" s="74" t="s">
        <v>129</v>
      </c>
      <c r="B53" s="74" t="s">
        <v>130</v>
      </c>
      <c r="C53" s="84">
        <f>C54</f>
        <v>145265.64000000001</v>
      </c>
      <c r="D53" s="84">
        <f t="shared" ref="D53:E53" si="23">D54</f>
        <v>0</v>
      </c>
      <c r="E53" s="84">
        <f t="shared" si="23"/>
        <v>0</v>
      </c>
      <c r="F53" s="84" t="e">
        <f t="shared" si="1"/>
        <v>#DIV/0!</v>
      </c>
    </row>
    <row r="54" spans="1:6" s="118" customFormat="1" x14ac:dyDescent="0.25">
      <c r="A54" s="125" t="s">
        <v>76</v>
      </c>
      <c r="B54" s="126" t="s">
        <v>69</v>
      </c>
      <c r="C54" s="127">
        <f>C55</f>
        <v>145265.64000000001</v>
      </c>
      <c r="D54" s="127">
        <f t="shared" ref="D54:E55" si="24">D55</f>
        <v>0</v>
      </c>
      <c r="E54" s="127">
        <f t="shared" si="24"/>
        <v>0</v>
      </c>
      <c r="F54" s="127" t="e">
        <f t="shared" si="1"/>
        <v>#DIV/0!</v>
      </c>
    </row>
    <row r="55" spans="1:6" x14ac:dyDescent="0.25">
      <c r="A55" s="59" t="s">
        <v>93</v>
      </c>
      <c r="B55" s="60" t="s">
        <v>38</v>
      </c>
      <c r="C55" s="83">
        <f>C56</f>
        <v>145265.64000000001</v>
      </c>
      <c r="D55" s="83">
        <f t="shared" si="24"/>
        <v>0</v>
      </c>
      <c r="E55" s="83">
        <f t="shared" si="24"/>
        <v>0</v>
      </c>
      <c r="F55" s="83" t="e">
        <f t="shared" si="1"/>
        <v>#DIV/0!</v>
      </c>
    </row>
    <row r="56" spans="1:6" x14ac:dyDescent="0.25">
      <c r="A56" s="61" t="s">
        <v>96</v>
      </c>
      <c r="B56" s="67" t="s">
        <v>114</v>
      </c>
      <c r="C56" s="83">
        <v>145265.64000000001</v>
      </c>
      <c r="D56" s="83">
        <v>0</v>
      </c>
      <c r="E56" s="83">
        <v>0</v>
      </c>
      <c r="F56" s="83" t="e">
        <f t="shared" si="1"/>
        <v>#DIV/0!</v>
      </c>
    </row>
    <row r="57" spans="1:6" ht="31.5" customHeight="1" x14ac:dyDescent="0.25">
      <c r="A57" s="68" t="s">
        <v>80</v>
      </c>
      <c r="B57" s="69" t="s">
        <v>81</v>
      </c>
      <c r="C57" s="81">
        <f>C58</f>
        <v>138400</v>
      </c>
      <c r="D57" s="81">
        <f>D58</f>
        <v>121400</v>
      </c>
      <c r="E57" s="81">
        <f>E58</f>
        <v>204864.52999999997</v>
      </c>
      <c r="F57" s="81">
        <f t="shared" si="1"/>
        <v>168.75167215815483</v>
      </c>
    </row>
    <row r="58" spans="1:6" x14ac:dyDescent="0.25">
      <c r="A58" s="73" t="s">
        <v>78</v>
      </c>
      <c r="B58" s="73" t="s">
        <v>79</v>
      </c>
      <c r="C58" s="82">
        <f>C59+C65</f>
        <v>138400</v>
      </c>
      <c r="D58" s="82">
        <f t="shared" ref="D58:E58" si="25">D59+D65</f>
        <v>121400</v>
      </c>
      <c r="E58" s="82">
        <f t="shared" si="25"/>
        <v>204864.52999999997</v>
      </c>
      <c r="F58" s="82">
        <f t="shared" si="1"/>
        <v>168.75167215815483</v>
      </c>
    </row>
    <row r="59" spans="1:6" s="118" customFormat="1" x14ac:dyDescent="0.25">
      <c r="A59" s="125" t="s">
        <v>76</v>
      </c>
      <c r="B59" s="126" t="s">
        <v>69</v>
      </c>
      <c r="C59" s="127">
        <f>C60+C63</f>
        <v>66400</v>
      </c>
      <c r="D59" s="127">
        <f t="shared" ref="D59" si="26">D60+D63</f>
        <v>99400</v>
      </c>
      <c r="E59" s="127">
        <f t="shared" ref="E59" si="27">E60+E63</f>
        <v>115291.34999999998</v>
      </c>
      <c r="F59" s="127">
        <f t="shared" si="1"/>
        <v>115.98727364185109</v>
      </c>
    </row>
    <row r="60" spans="1:6" x14ac:dyDescent="0.25">
      <c r="A60" s="59" t="s">
        <v>70</v>
      </c>
      <c r="B60" s="60" t="s">
        <v>35</v>
      </c>
      <c r="C60" s="83">
        <f>C61+C62</f>
        <v>66400</v>
      </c>
      <c r="D60" s="83">
        <f t="shared" ref="D60" si="28">D61+D62</f>
        <v>97138.19</v>
      </c>
      <c r="E60" s="83">
        <f t="shared" ref="E60" si="29">E61+E62</f>
        <v>87992.039999999979</v>
      </c>
      <c r="F60" s="83">
        <f t="shared" si="1"/>
        <v>90.58439322371558</v>
      </c>
    </row>
    <row r="61" spans="1:6" x14ac:dyDescent="0.25">
      <c r="A61" s="61" t="s">
        <v>71</v>
      </c>
      <c r="B61" s="60" t="s">
        <v>75</v>
      </c>
      <c r="C61" s="83">
        <v>65200</v>
      </c>
      <c r="D61" s="83">
        <v>95938.19</v>
      </c>
      <c r="E61" s="83">
        <v>86909.109999999986</v>
      </c>
      <c r="F61" s="83">
        <f t="shared" si="1"/>
        <v>90.588648795646435</v>
      </c>
    </row>
    <row r="62" spans="1:6" x14ac:dyDescent="0.25">
      <c r="A62" s="61" t="s">
        <v>82</v>
      </c>
      <c r="B62" s="67" t="s">
        <v>115</v>
      </c>
      <c r="C62" s="83">
        <v>1200</v>
      </c>
      <c r="D62" s="83">
        <v>1200</v>
      </c>
      <c r="E62" s="83">
        <v>1082.93</v>
      </c>
      <c r="F62" s="83">
        <f t="shared" si="1"/>
        <v>90.244166666666672</v>
      </c>
    </row>
    <row r="63" spans="1:6" x14ac:dyDescent="0.25">
      <c r="A63" s="59" t="s">
        <v>93</v>
      </c>
      <c r="B63" s="60" t="s">
        <v>38</v>
      </c>
      <c r="C63" s="83">
        <f>C64</f>
        <v>0</v>
      </c>
      <c r="D63" s="83">
        <f t="shared" ref="D63:E63" si="30">D64</f>
        <v>2261.81</v>
      </c>
      <c r="E63" s="83">
        <f t="shared" si="30"/>
        <v>27299.31</v>
      </c>
      <c r="F63" s="83">
        <f t="shared" si="1"/>
        <v>1206.967428740699</v>
      </c>
    </row>
    <row r="64" spans="1:6" x14ac:dyDescent="0.25">
      <c r="A64" s="61" t="s">
        <v>96</v>
      </c>
      <c r="B64" s="67" t="s">
        <v>114</v>
      </c>
      <c r="C64" s="83">
        <v>0</v>
      </c>
      <c r="D64" s="83">
        <v>2261.81</v>
      </c>
      <c r="E64" s="83">
        <v>27299.31</v>
      </c>
      <c r="F64" s="83">
        <f t="shared" si="1"/>
        <v>1206.967428740699</v>
      </c>
    </row>
    <row r="65" spans="1:6" s="118" customFormat="1" x14ac:dyDescent="0.25">
      <c r="A65" s="125" t="s">
        <v>124</v>
      </c>
      <c r="B65" s="126" t="s">
        <v>83</v>
      </c>
      <c r="C65" s="127">
        <f t="shared" ref="C65:C66" si="31">C66</f>
        <v>72000</v>
      </c>
      <c r="D65" s="127">
        <f t="shared" ref="D65:E66" si="32">D66</f>
        <v>22000</v>
      </c>
      <c r="E65" s="127">
        <f t="shared" si="32"/>
        <v>89573.18</v>
      </c>
      <c r="F65" s="127">
        <f t="shared" ref="F65:F100" si="33">E65/D65*100</f>
        <v>407.15081818181818</v>
      </c>
    </row>
    <row r="66" spans="1:6" x14ac:dyDescent="0.25">
      <c r="A66" s="59" t="s">
        <v>70</v>
      </c>
      <c r="B66" s="60" t="s">
        <v>35</v>
      </c>
      <c r="C66" s="86">
        <f t="shared" si="31"/>
        <v>72000</v>
      </c>
      <c r="D66" s="83">
        <f t="shared" si="32"/>
        <v>22000</v>
      </c>
      <c r="E66" s="83">
        <f t="shared" si="32"/>
        <v>89573.18</v>
      </c>
      <c r="F66" s="83">
        <f t="shared" si="33"/>
        <v>407.15081818181818</v>
      </c>
    </row>
    <row r="67" spans="1:6" x14ac:dyDescent="0.25">
      <c r="A67" s="61" t="s">
        <v>71</v>
      </c>
      <c r="B67" s="60" t="s">
        <v>75</v>
      </c>
      <c r="C67" s="83">
        <v>72000</v>
      </c>
      <c r="D67" s="83">
        <v>22000</v>
      </c>
      <c r="E67" s="83">
        <v>89573.18</v>
      </c>
      <c r="F67" s="83">
        <f t="shared" si="33"/>
        <v>407.15081818181818</v>
      </c>
    </row>
    <row r="68" spans="1:6" ht="39" customHeight="1" x14ac:dyDescent="0.25">
      <c r="A68" s="68" t="s">
        <v>88</v>
      </c>
      <c r="B68" s="69" t="s">
        <v>89</v>
      </c>
      <c r="C68" s="81">
        <f>C69+C83+C92+C102</f>
        <v>55760.42</v>
      </c>
      <c r="D68" s="81">
        <f>D69+D83+D92+D102</f>
        <v>972886.04</v>
      </c>
      <c r="E68" s="81">
        <f>E69+E83+E92+E102</f>
        <v>121381.79</v>
      </c>
      <c r="F68" s="81">
        <f t="shared" si="33"/>
        <v>12.476465383345412</v>
      </c>
    </row>
    <row r="69" spans="1:6" x14ac:dyDescent="0.25">
      <c r="A69" s="74" t="s">
        <v>97</v>
      </c>
      <c r="B69" s="74" t="s">
        <v>98</v>
      </c>
      <c r="C69" s="84">
        <f>C70+C74+C78</f>
        <v>55760.42</v>
      </c>
      <c r="D69" s="84">
        <f t="shared" ref="D69:E69" si="34">D70+D74+D78</f>
        <v>51697.83</v>
      </c>
      <c r="E69" s="84">
        <f t="shared" si="34"/>
        <v>45140.75</v>
      </c>
      <c r="F69" s="84">
        <f t="shared" si="33"/>
        <v>87.31652759893403</v>
      </c>
    </row>
    <row r="70" spans="1:6" s="118" customFormat="1" x14ac:dyDescent="0.25">
      <c r="A70" s="125" t="s">
        <v>76</v>
      </c>
      <c r="B70" s="126" t="s">
        <v>69</v>
      </c>
      <c r="C70" s="127">
        <f>C71</f>
        <v>2246.42</v>
      </c>
      <c r="D70" s="127">
        <f t="shared" ref="D70:E70" si="35">D71</f>
        <v>12615.07</v>
      </c>
      <c r="E70" s="127">
        <f t="shared" si="35"/>
        <v>7641.28</v>
      </c>
      <c r="F70" s="127">
        <f t="shared" si="33"/>
        <v>60.572632573580641</v>
      </c>
    </row>
    <row r="71" spans="1:6" x14ac:dyDescent="0.25">
      <c r="A71" s="59" t="s">
        <v>70</v>
      </c>
      <c r="B71" s="60" t="s">
        <v>35</v>
      </c>
      <c r="C71" s="83">
        <f>C72+C73</f>
        <v>2246.42</v>
      </c>
      <c r="D71" s="83">
        <f t="shared" ref="D71" si="36">D72+D73</f>
        <v>12615.07</v>
      </c>
      <c r="E71" s="83">
        <f t="shared" ref="E71" si="37">E72+E73</f>
        <v>7641.28</v>
      </c>
      <c r="F71" s="83">
        <f t="shared" si="33"/>
        <v>60.572632573580641</v>
      </c>
    </row>
    <row r="72" spans="1:6" x14ac:dyDescent="0.25">
      <c r="A72" s="61" t="s">
        <v>72</v>
      </c>
      <c r="B72" s="60" t="s">
        <v>68</v>
      </c>
      <c r="C72" s="83">
        <v>779.15</v>
      </c>
      <c r="D72" s="83">
        <f>5200+880</f>
        <v>6080</v>
      </c>
      <c r="E72" s="83">
        <v>5525.49</v>
      </c>
      <c r="F72" s="83">
        <f t="shared" si="33"/>
        <v>90.879769736842093</v>
      </c>
    </row>
    <row r="73" spans="1:6" x14ac:dyDescent="0.25">
      <c r="A73" s="61" t="s">
        <v>71</v>
      </c>
      <c r="B73" s="60" t="s">
        <v>75</v>
      </c>
      <c r="C73" s="83">
        <v>1467.27</v>
      </c>
      <c r="D73" s="83">
        <f>300+313.27+613.28+3100+2208.52</f>
        <v>6535.07</v>
      </c>
      <c r="E73" s="83">
        <v>2115.79</v>
      </c>
      <c r="F73" s="83">
        <f t="shared" si="33"/>
        <v>32.375934764279499</v>
      </c>
    </row>
    <row r="74" spans="1:6" s="118" customFormat="1" x14ac:dyDescent="0.25">
      <c r="A74" s="125" t="s">
        <v>117</v>
      </c>
      <c r="B74" s="126" t="s">
        <v>118</v>
      </c>
      <c r="C74" s="127">
        <f>C75</f>
        <v>0</v>
      </c>
      <c r="D74" s="127">
        <f t="shared" ref="D74:E74" si="38">D75</f>
        <v>30183.11</v>
      </c>
      <c r="E74" s="127">
        <f t="shared" si="38"/>
        <v>28599.82</v>
      </c>
      <c r="F74" s="127">
        <f t="shared" si="33"/>
        <v>94.754384157232309</v>
      </c>
    </row>
    <row r="75" spans="1:6" x14ac:dyDescent="0.25">
      <c r="A75" s="59" t="s">
        <v>70</v>
      </c>
      <c r="B75" s="60" t="s">
        <v>35</v>
      </c>
      <c r="C75" s="83">
        <f>C76+C77</f>
        <v>0</v>
      </c>
      <c r="D75" s="83">
        <f t="shared" ref="D75" si="39">D76+D77</f>
        <v>30183.11</v>
      </c>
      <c r="E75" s="83">
        <f t="shared" ref="E75" si="40">E76+E77</f>
        <v>28599.82</v>
      </c>
      <c r="F75" s="83">
        <f t="shared" si="33"/>
        <v>94.754384157232309</v>
      </c>
    </row>
    <row r="76" spans="1:6" x14ac:dyDescent="0.25">
      <c r="A76" s="61" t="s">
        <v>72</v>
      </c>
      <c r="B76" s="60" t="s">
        <v>68</v>
      </c>
      <c r="C76" s="83">
        <v>0</v>
      </c>
      <c r="D76" s="83">
        <f>19670+3260</f>
        <v>22930</v>
      </c>
      <c r="E76" s="83">
        <v>22101.93</v>
      </c>
      <c r="F76" s="83">
        <f t="shared" si="33"/>
        <v>96.388704753597906</v>
      </c>
    </row>
    <row r="77" spans="1:6" x14ac:dyDescent="0.25">
      <c r="A77" s="61" t="s">
        <v>71</v>
      </c>
      <c r="B77" s="60" t="s">
        <v>75</v>
      </c>
      <c r="C77" s="83">
        <v>0</v>
      </c>
      <c r="D77" s="83">
        <f>1500+953.11+4800</f>
        <v>7253.1100000000006</v>
      </c>
      <c r="E77" s="83">
        <v>6497.8899999999994</v>
      </c>
      <c r="F77" s="83">
        <f t="shared" si="33"/>
        <v>89.587638957633331</v>
      </c>
    </row>
    <row r="78" spans="1:6" s="118" customFormat="1" x14ac:dyDescent="0.25">
      <c r="A78" s="125" t="s">
        <v>270</v>
      </c>
      <c r="B78" s="126" t="s">
        <v>131</v>
      </c>
      <c r="C78" s="127">
        <f>C79</f>
        <v>53514</v>
      </c>
      <c r="D78" s="127">
        <f t="shared" ref="D78:E78" si="41">D79</f>
        <v>8899.65</v>
      </c>
      <c r="E78" s="127">
        <f t="shared" si="41"/>
        <v>8899.65</v>
      </c>
      <c r="F78" s="127">
        <f t="shared" si="33"/>
        <v>100</v>
      </c>
    </row>
    <row r="79" spans="1:6" x14ac:dyDescent="0.25">
      <c r="A79" s="59" t="s">
        <v>70</v>
      </c>
      <c r="B79" s="60" t="s">
        <v>35</v>
      </c>
      <c r="C79" s="83">
        <f>C80+C81+C82</f>
        <v>53514</v>
      </c>
      <c r="D79" s="83">
        <f>D80+D81+D82</f>
        <v>8899.65</v>
      </c>
      <c r="E79" s="83">
        <f>E80+E81+E82</f>
        <v>8899.65</v>
      </c>
      <c r="F79" s="83">
        <f t="shared" si="33"/>
        <v>100</v>
      </c>
    </row>
    <row r="80" spans="1:6" x14ac:dyDescent="0.25">
      <c r="A80" s="61" t="s">
        <v>72</v>
      </c>
      <c r="B80" s="60" t="s">
        <v>68</v>
      </c>
      <c r="C80" s="83">
        <v>3116</v>
      </c>
      <c r="D80" s="83">
        <v>0</v>
      </c>
      <c r="E80" s="83">
        <v>0</v>
      </c>
      <c r="F80" s="83" t="e">
        <f t="shared" si="33"/>
        <v>#DIV/0!</v>
      </c>
    </row>
    <row r="81" spans="1:6" x14ac:dyDescent="0.25">
      <c r="A81" s="61" t="s">
        <v>71</v>
      </c>
      <c r="B81" s="60" t="s">
        <v>75</v>
      </c>
      <c r="C81" s="83">
        <v>50398</v>
      </c>
      <c r="D81" s="83">
        <v>0</v>
      </c>
      <c r="E81" s="83">
        <v>0</v>
      </c>
      <c r="F81" s="83" t="e">
        <f t="shared" si="33"/>
        <v>#DIV/0!</v>
      </c>
    </row>
    <row r="82" spans="1:6" x14ac:dyDescent="0.25">
      <c r="A82" s="61" t="s">
        <v>132</v>
      </c>
      <c r="B82" s="67" t="s">
        <v>237</v>
      </c>
      <c r="C82" s="83">
        <v>0</v>
      </c>
      <c r="D82" s="83">
        <v>8899.65</v>
      </c>
      <c r="E82" s="83">
        <v>8899.65</v>
      </c>
      <c r="F82" s="83">
        <f t="shared" si="33"/>
        <v>100</v>
      </c>
    </row>
    <row r="83" spans="1:6" x14ac:dyDescent="0.25">
      <c r="A83" s="74" t="s">
        <v>100</v>
      </c>
      <c r="B83" s="74" t="s">
        <v>99</v>
      </c>
      <c r="C83" s="84">
        <f>C84+C89</f>
        <v>0</v>
      </c>
      <c r="D83" s="84">
        <f t="shared" ref="D83:E83" si="42">D84+D89</f>
        <v>86660.98000000001</v>
      </c>
      <c r="E83" s="84">
        <f t="shared" si="42"/>
        <v>50893.909999999996</v>
      </c>
      <c r="F83" s="84">
        <f t="shared" si="33"/>
        <v>58.727595741474417</v>
      </c>
    </row>
    <row r="84" spans="1:6" s="118" customFormat="1" x14ac:dyDescent="0.25">
      <c r="A84" s="125" t="s">
        <v>119</v>
      </c>
      <c r="B84" s="126" t="s">
        <v>120</v>
      </c>
      <c r="C84" s="127">
        <f t="shared" ref="C84" si="43">C85</f>
        <v>0</v>
      </c>
      <c r="D84" s="127">
        <f t="shared" ref="D84:E84" si="44">D85</f>
        <v>52400</v>
      </c>
      <c r="E84" s="127">
        <f t="shared" si="44"/>
        <v>50893.909999999996</v>
      </c>
      <c r="F84" s="127">
        <f t="shared" si="33"/>
        <v>97.12578244274809</v>
      </c>
    </row>
    <row r="85" spans="1:6" x14ac:dyDescent="0.25">
      <c r="A85" s="59" t="s">
        <v>70</v>
      </c>
      <c r="B85" s="60" t="s">
        <v>35</v>
      </c>
      <c r="C85" s="83">
        <f>C86+C87+C88</f>
        <v>0</v>
      </c>
      <c r="D85" s="83">
        <f>D86+D87+D88</f>
        <v>52400</v>
      </c>
      <c r="E85" s="83">
        <f>E86+E87+E88</f>
        <v>50893.909999999996</v>
      </c>
      <c r="F85" s="83">
        <f t="shared" si="33"/>
        <v>97.12578244274809</v>
      </c>
    </row>
    <row r="86" spans="1:6" x14ac:dyDescent="0.25">
      <c r="A86" s="61" t="s">
        <v>72</v>
      </c>
      <c r="B86" s="60" t="s">
        <v>68</v>
      </c>
      <c r="C86" s="83">
        <v>0</v>
      </c>
      <c r="D86" s="83">
        <f>15600+2539.02</f>
        <v>18139.02</v>
      </c>
      <c r="E86" s="83">
        <v>50893.909999999996</v>
      </c>
      <c r="F86" s="83">
        <f t="shared" si="33"/>
        <v>280.57695509459711</v>
      </c>
    </row>
    <row r="87" spans="1:6" x14ac:dyDescent="0.25">
      <c r="A87" s="61" t="s">
        <v>71</v>
      </c>
      <c r="B87" s="60" t="s">
        <v>75</v>
      </c>
      <c r="C87" s="83">
        <v>0</v>
      </c>
      <c r="D87" s="83">
        <v>0</v>
      </c>
      <c r="E87" s="83">
        <v>0</v>
      </c>
      <c r="F87" s="83" t="e">
        <f t="shared" si="33"/>
        <v>#DIV/0!</v>
      </c>
    </row>
    <row r="88" spans="1:6" x14ac:dyDescent="0.25">
      <c r="A88" s="61" t="s">
        <v>132</v>
      </c>
      <c r="B88" s="67" t="s">
        <v>237</v>
      </c>
      <c r="C88" s="83">
        <v>0</v>
      </c>
      <c r="D88" s="83">
        <v>34260.980000000003</v>
      </c>
      <c r="E88" s="83">
        <v>0</v>
      </c>
      <c r="F88" s="83">
        <f t="shared" si="33"/>
        <v>0</v>
      </c>
    </row>
    <row r="89" spans="1:6" s="118" customFormat="1" x14ac:dyDescent="0.25">
      <c r="A89" s="125" t="s">
        <v>103</v>
      </c>
      <c r="B89" s="126" t="s">
        <v>104</v>
      </c>
      <c r="C89" s="127">
        <f t="shared" ref="C89:E90" si="45">C90</f>
        <v>0</v>
      </c>
      <c r="D89" s="127">
        <f t="shared" si="45"/>
        <v>34260.980000000003</v>
      </c>
      <c r="E89" s="127">
        <f t="shared" si="45"/>
        <v>0</v>
      </c>
      <c r="F89" s="127">
        <f t="shared" si="33"/>
        <v>0</v>
      </c>
    </row>
    <row r="90" spans="1:6" x14ac:dyDescent="0.25">
      <c r="A90" s="59" t="s">
        <v>70</v>
      </c>
      <c r="B90" s="60" t="s">
        <v>35</v>
      </c>
      <c r="C90" s="83">
        <f t="shared" si="45"/>
        <v>0</v>
      </c>
      <c r="D90" s="83">
        <f t="shared" si="45"/>
        <v>34260.980000000003</v>
      </c>
      <c r="E90" s="83">
        <f t="shared" si="45"/>
        <v>0</v>
      </c>
      <c r="F90" s="83">
        <f t="shared" si="33"/>
        <v>0</v>
      </c>
    </row>
    <row r="91" spans="1:6" x14ac:dyDescent="0.25">
      <c r="A91" s="61" t="s">
        <v>72</v>
      </c>
      <c r="B91" s="60" t="s">
        <v>68</v>
      </c>
      <c r="C91" s="83">
        <v>0</v>
      </c>
      <c r="D91" s="83">
        <v>34260.980000000003</v>
      </c>
      <c r="E91" s="83">
        <v>0</v>
      </c>
      <c r="F91" s="83">
        <f t="shared" si="33"/>
        <v>0</v>
      </c>
    </row>
    <row r="92" spans="1:6" x14ac:dyDescent="0.25">
      <c r="A92" s="74" t="s">
        <v>101</v>
      </c>
      <c r="B92" s="74" t="s">
        <v>102</v>
      </c>
      <c r="C92" s="84">
        <f>C93+C99</f>
        <v>0</v>
      </c>
      <c r="D92" s="84">
        <f t="shared" ref="D92:E92" si="46">D93+D99</f>
        <v>822493.23</v>
      </c>
      <c r="E92" s="84">
        <f t="shared" si="46"/>
        <v>13313.18</v>
      </c>
      <c r="F92" s="84">
        <f t="shared" si="33"/>
        <v>1.6186370312130109</v>
      </c>
    </row>
    <row r="93" spans="1:6" s="118" customFormat="1" x14ac:dyDescent="0.25">
      <c r="A93" s="125" t="s">
        <v>119</v>
      </c>
      <c r="B93" s="126" t="s">
        <v>120</v>
      </c>
      <c r="C93" s="127">
        <f t="shared" ref="C93" si="47">C94+C97</f>
        <v>0</v>
      </c>
      <c r="D93" s="127">
        <f>D94+D97</f>
        <v>49142</v>
      </c>
      <c r="E93" s="127">
        <f>E94</f>
        <v>13313.18</v>
      </c>
      <c r="F93" s="127">
        <f t="shared" si="33"/>
        <v>27.091245777542632</v>
      </c>
    </row>
    <row r="94" spans="1:6" x14ac:dyDescent="0.25">
      <c r="A94" s="59" t="s">
        <v>70</v>
      </c>
      <c r="B94" s="60" t="s">
        <v>35</v>
      </c>
      <c r="C94" s="83">
        <f t="shared" ref="C94" si="48">C95+C96</f>
        <v>0</v>
      </c>
      <c r="D94" s="83">
        <f t="shared" ref="D94" si="49">D95+D96</f>
        <v>19142</v>
      </c>
      <c r="E94" s="83">
        <f>E95+E96</f>
        <v>13313.18</v>
      </c>
      <c r="F94" s="83">
        <f t="shared" si="33"/>
        <v>69.549576846724477</v>
      </c>
    </row>
    <row r="95" spans="1:6" x14ac:dyDescent="0.25">
      <c r="A95" s="61" t="s">
        <v>72</v>
      </c>
      <c r="B95" s="60" t="s">
        <v>68</v>
      </c>
      <c r="C95" s="83">
        <v>0</v>
      </c>
      <c r="D95" s="83">
        <f>13000+2150</f>
        <v>15150</v>
      </c>
      <c r="E95" s="83">
        <v>12815.48</v>
      </c>
      <c r="F95" s="83">
        <f t="shared" si="33"/>
        <v>84.590627062706275</v>
      </c>
    </row>
    <row r="96" spans="1:6" x14ac:dyDescent="0.25">
      <c r="A96" s="61" t="s">
        <v>71</v>
      </c>
      <c r="B96" s="60" t="s">
        <v>75</v>
      </c>
      <c r="C96" s="83">
        <v>0</v>
      </c>
      <c r="D96" s="83">
        <f>492+1300+2200</f>
        <v>3992</v>
      </c>
      <c r="E96" s="83">
        <v>497.7</v>
      </c>
      <c r="F96" s="83">
        <f t="shared" si="33"/>
        <v>12.467434869739478</v>
      </c>
    </row>
    <row r="97" spans="1:6" x14ac:dyDescent="0.25">
      <c r="A97" s="59" t="s">
        <v>93</v>
      </c>
      <c r="B97" s="60" t="s">
        <v>38</v>
      </c>
      <c r="C97" s="83">
        <f t="shared" ref="C97" si="50">C98</f>
        <v>0</v>
      </c>
      <c r="D97" s="83">
        <f t="shared" ref="D97:E97" si="51">D98</f>
        <v>30000</v>
      </c>
      <c r="E97" s="83">
        <f t="shared" si="51"/>
        <v>0</v>
      </c>
      <c r="F97" s="83">
        <f t="shared" si="33"/>
        <v>0</v>
      </c>
    </row>
    <row r="98" spans="1:6" x14ac:dyDescent="0.25">
      <c r="A98" s="61" t="s">
        <v>96</v>
      </c>
      <c r="B98" s="67" t="s">
        <v>114</v>
      </c>
      <c r="C98" s="83">
        <v>0</v>
      </c>
      <c r="D98" s="83">
        <v>30000</v>
      </c>
      <c r="E98" s="83">
        <v>0</v>
      </c>
      <c r="F98" s="83">
        <f t="shared" si="33"/>
        <v>0</v>
      </c>
    </row>
    <row r="99" spans="1:6" s="118" customFormat="1" x14ac:dyDescent="0.25">
      <c r="A99" s="125" t="s">
        <v>271</v>
      </c>
      <c r="B99" s="126" t="s">
        <v>272</v>
      </c>
      <c r="C99" s="127">
        <f t="shared" ref="C99:E100" si="52">C100</f>
        <v>0</v>
      </c>
      <c r="D99" s="127">
        <f t="shared" si="52"/>
        <v>773351.23</v>
      </c>
      <c r="E99" s="127">
        <f t="shared" si="52"/>
        <v>0</v>
      </c>
      <c r="F99" s="127">
        <f t="shared" si="33"/>
        <v>0</v>
      </c>
    </row>
    <row r="100" spans="1:6" x14ac:dyDescent="0.25">
      <c r="A100" s="59" t="s">
        <v>93</v>
      </c>
      <c r="B100" s="60" t="s">
        <v>38</v>
      </c>
      <c r="C100" s="83">
        <f t="shared" si="52"/>
        <v>0</v>
      </c>
      <c r="D100" s="83">
        <f t="shared" si="52"/>
        <v>773351.23</v>
      </c>
      <c r="E100" s="83">
        <f t="shared" si="52"/>
        <v>0</v>
      </c>
      <c r="F100" s="83">
        <f t="shared" si="33"/>
        <v>0</v>
      </c>
    </row>
    <row r="101" spans="1:6" x14ac:dyDescent="0.25">
      <c r="A101" s="61" t="s">
        <v>96</v>
      </c>
      <c r="B101" s="67" t="s">
        <v>114</v>
      </c>
      <c r="C101" s="83">
        <v>0</v>
      </c>
      <c r="D101" s="83">
        <v>773351.23</v>
      </c>
      <c r="E101" s="83">
        <v>0</v>
      </c>
      <c r="F101" s="83">
        <f t="shared" ref="F101:F110" si="53">E101/D101*100</f>
        <v>0</v>
      </c>
    </row>
    <row r="102" spans="1:6" x14ac:dyDescent="0.25">
      <c r="A102" s="74" t="s">
        <v>105</v>
      </c>
      <c r="B102" s="74" t="s">
        <v>106</v>
      </c>
      <c r="C102" s="84">
        <f t="shared" ref="C102:C104" si="54">C103</f>
        <v>0</v>
      </c>
      <c r="D102" s="84">
        <f>D103</f>
        <v>12034</v>
      </c>
      <c r="E102" s="84">
        <f>E103</f>
        <v>12033.95</v>
      </c>
      <c r="F102" s="84">
        <f t="shared" si="53"/>
        <v>99.999584510553447</v>
      </c>
    </row>
    <row r="103" spans="1:6" s="118" customFormat="1" x14ac:dyDescent="0.25">
      <c r="A103" s="125" t="s">
        <v>107</v>
      </c>
      <c r="B103" s="126" t="s">
        <v>108</v>
      </c>
      <c r="C103" s="127">
        <f t="shared" si="54"/>
        <v>0</v>
      </c>
      <c r="D103" s="127">
        <f t="shared" ref="D103:E104" si="55">D104</f>
        <v>12034</v>
      </c>
      <c r="E103" s="127">
        <f t="shared" si="55"/>
        <v>12033.95</v>
      </c>
      <c r="F103" s="127">
        <f t="shared" si="53"/>
        <v>99.999584510553447</v>
      </c>
    </row>
    <row r="104" spans="1:6" x14ac:dyDescent="0.25">
      <c r="A104" s="59" t="s">
        <v>70</v>
      </c>
      <c r="B104" s="60" t="s">
        <v>35</v>
      </c>
      <c r="C104" s="83">
        <f t="shared" si="54"/>
        <v>0</v>
      </c>
      <c r="D104" s="83">
        <f t="shared" si="55"/>
        <v>12034</v>
      </c>
      <c r="E104" s="83">
        <f t="shared" si="55"/>
        <v>12033.95</v>
      </c>
      <c r="F104" s="83">
        <f t="shared" si="53"/>
        <v>99.999584510553447</v>
      </c>
    </row>
    <row r="105" spans="1:6" x14ac:dyDescent="0.25">
      <c r="A105" s="61" t="s">
        <v>72</v>
      </c>
      <c r="B105" s="60" t="s">
        <v>68</v>
      </c>
      <c r="C105" s="83">
        <v>0</v>
      </c>
      <c r="D105" s="83">
        <v>12034</v>
      </c>
      <c r="E105" s="83">
        <v>12033.95</v>
      </c>
      <c r="F105" s="83">
        <f t="shared" si="53"/>
        <v>99.999584510553447</v>
      </c>
    </row>
    <row r="106" spans="1:6" ht="26.25" customHeight="1" x14ac:dyDescent="0.25">
      <c r="A106" s="68" t="s">
        <v>90</v>
      </c>
      <c r="B106" s="69" t="s">
        <v>91</v>
      </c>
      <c r="C106" s="81">
        <f t="shared" ref="C106:C109" si="56">C107</f>
        <v>0</v>
      </c>
      <c r="D106" s="81">
        <f t="shared" ref="D106:E109" si="57">D107</f>
        <v>15896</v>
      </c>
      <c r="E106" s="81">
        <f t="shared" si="57"/>
        <v>15896.44</v>
      </c>
      <c r="F106" s="81">
        <f t="shared" si="53"/>
        <v>100.00276799194768</v>
      </c>
    </row>
    <row r="107" spans="1:6" x14ac:dyDescent="0.25">
      <c r="A107" s="74" t="s">
        <v>109</v>
      </c>
      <c r="B107" s="74" t="s">
        <v>110</v>
      </c>
      <c r="C107" s="84">
        <f t="shared" si="56"/>
        <v>0</v>
      </c>
      <c r="D107" s="84">
        <f t="shared" si="57"/>
        <v>15896</v>
      </c>
      <c r="E107" s="84">
        <f t="shared" si="57"/>
        <v>15896.44</v>
      </c>
      <c r="F107" s="84">
        <f t="shared" si="53"/>
        <v>100.00276799194768</v>
      </c>
    </row>
    <row r="108" spans="1:6" s="118" customFormat="1" x14ac:dyDescent="0.25">
      <c r="A108" s="125" t="s">
        <v>111</v>
      </c>
      <c r="B108" s="126" t="s">
        <v>112</v>
      </c>
      <c r="C108" s="127">
        <f t="shared" si="56"/>
        <v>0</v>
      </c>
      <c r="D108" s="127">
        <f t="shared" si="57"/>
        <v>15896</v>
      </c>
      <c r="E108" s="127">
        <f t="shared" si="57"/>
        <v>15896.44</v>
      </c>
      <c r="F108" s="127">
        <f t="shared" si="53"/>
        <v>100.00276799194768</v>
      </c>
    </row>
    <row r="109" spans="1:6" x14ac:dyDescent="0.25">
      <c r="A109" s="59" t="s">
        <v>70</v>
      </c>
      <c r="B109" s="60" t="s">
        <v>35</v>
      </c>
      <c r="C109" s="83">
        <f t="shared" si="56"/>
        <v>0</v>
      </c>
      <c r="D109" s="83">
        <f t="shared" si="57"/>
        <v>15896</v>
      </c>
      <c r="E109" s="83">
        <f t="shared" si="57"/>
        <v>15896.44</v>
      </c>
      <c r="F109" s="83">
        <f t="shared" si="53"/>
        <v>100.00276799194768</v>
      </c>
    </row>
    <row r="110" spans="1:6" x14ac:dyDescent="0.25">
      <c r="A110" s="61" t="s">
        <v>72</v>
      </c>
      <c r="B110" s="60" t="s">
        <v>68</v>
      </c>
      <c r="C110" s="83">
        <v>0</v>
      </c>
      <c r="D110" s="83">
        <v>15896</v>
      </c>
      <c r="E110" s="83">
        <v>15896.44</v>
      </c>
      <c r="F110" s="83">
        <f t="shared" si="53"/>
        <v>100.00276799194768</v>
      </c>
    </row>
  </sheetData>
  <mergeCells count="1">
    <mergeCell ref="A2:F2"/>
  </mergeCells>
  <pageMargins left="0.7" right="0.7" top="0.75" bottom="0.75" header="0.3" footer="0.3"/>
  <pageSetup paperSize="9" scale="62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2"/>
  <sheetViews>
    <sheetView workbookViewId="0">
      <selection activeCell="C18" sqref="C18"/>
    </sheetView>
  </sheetViews>
  <sheetFormatPr defaultColWidth="8.85546875" defaultRowHeight="15" x14ac:dyDescent="0.25"/>
  <cols>
    <col min="1" max="1" width="7.85546875" style="32" bestFit="1" customWidth="1"/>
    <col min="2" max="2" width="44.7109375" style="32" customWidth="1"/>
    <col min="3" max="4" width="19.5703125" style="32" customWidth="1"/>
    <col min="5" max="8" width="19.42578125" style="32" customWidth="1"/>
    <col min="9" max="10" width="25.28515625" style="32" customWidth="1"/>
    <col min="11" max="16384" width="8.85546875" style="32"/>
  </cols>
  <sheetData>
    <row r="1" spans="1:10" ht="18.75" x14ac:dyDescent="0.25">
      <c r="A1" s="56"/>
      <c r="B1" s="31"/>
      <c r="C1" s="31"/>
      <c r="D1" s="31"/>
      <c r="E1" s="31"/>
      <c r="F1" s="31"/>
      <c r="G1" s="31"/>
      <c r="H1" s="31"/>
      <c r="I1" s="31"/>
      <c r="J1" s="31"/>
    </row>
    <row r="2" spans="1:10" ht="15.6" customHeight="1" x14ac:dyDescent="0.25">
      <c r="A2" s="156" t="s">
        <v>45</v>
      </c>
      <c r="B2" s="156"/>
      <c r="C2" s="156"/>
      <c r="D2" s="156"/>
      <c r="E2" s="156"/>
      <c r="F2" s="156"/>
      <c r="G2" s="156"/>
      <c r="H2" s="53"/>
      <c r="I2" s="34"/>
      <c r="J2" s="34"/>
    </row>
    <row r="3" spans="1:10" ht="18.75" x14ac:dyDescent="0.25">
      <c r="A3" s="31"/>
      <c r="B3" s="31"/>
      <c r="C3" s="31"/>
      <c r="D3" s="31"/>
      <c r="E3" s="31"/>
      <c r="F3" s="31"/>
      <c r="G3" s="31"/>
      <c r="H3" s="31"/>
      <c r="I3" s="33"/>
      <c r="J3" s="33"/>
    </row>
    <row r="4" spans="1:10" ht="15.6" customHeight="1" x14ac:dyDescent="0.25">
      <c r="A4" s="156" t="s">
        <v>46</v>
      </c>
      <c r="B4" s="156"/>
      <c r="C4" s="156"/>
      <c r="D4" s="156"/>
      <c r="E4" s="156"/>
      <c r="F4" s="156"/>
      <c r="G4" s="156"/>
      <c r="H4" s="53"/>
      <c r="I4" s="35"/>
      <c r="J4" s="35"/>
    </row>
    <row r="5" spans="1:10" ht="18.75" x14ac:dyDescent="0.25">
      <c r="A5" s="31"/>
      <c r="B5" s="31"/>
      <c r="C5" s="31"/>
      <c r="D5" s="31"/>
      <c r="E5" s="31"/>
      <c r="F5" s="31"/>
      <c r="G5" s="31"/>
      <c r="H5" s="31"/>
      <c r="I5" s="33"/>
      <c r="J5" s="33"/>
    </row>
    <row r="6" spans="1:10" ht="25.5" x14ac:dyDescent="0.25">
      <c r="A6" s="36" t="s">
        <v>41</v>
      </c>
      <c r="B6" s="37" t="s">
        <v>22</v>
      </c>
      <c r="C6" s="38" t="s">
        <v>13</v>
      </c>
      <c r="D6" s="38" t="s">
        <v>23</v>
      </c>
      <c r="E6" s="36" t="s">
        <v>24</v>
      </c>
      <c r="F6" s="36" t="s">
        <v>25</v>
      </c>
      <c r="G6" s="36" t="s">
        <v>26</v>
      </c>
    </row>
    <row r="7" spans="1:10" s="40" customFormat="1" ht="11.25" x14ac:dyDescent="0.2">
      <c r="A7" s="39">
        <v>1</v>
      </c>
      <c r="B7" s="39">
        <v>2</v>
      </c>
      <c r="C7" s="39">
        <v>3</v>
      </c>
      <c r="D7" s="39">
        <v>4</v>
      </c>
      <c r="E7" s="39">
        <v>5</v>
      </c>
      <c r="F7" s="39">
        <v>6</v>
      </c>
      <c r="G7" s="39">
        <v>7</v>
      </c>
    </row>
    <row r="8" spans="1:10" x14ac:dyDescent="0.25">
      <c r="A8" s="41">
        <v>8</v>
      </c>
      <c r="B8" s="41" t="s">
        <v>47</v>
      </c>
      <c r="C8" s="41"/>
      <c r="D8" s="41"/>
      <c r="E8" s="42"/>
      <c r="F8" s="42"/>
      <c r="G8" s="42"/>
    </row>
    <row r="9" spans="1:10" x14ac:dyDescent="0.25">
      <c r="A9" s="51">
        <v>84</v>
      </c>
      <c r="B9" s="43" t="s">
        <v>48</v>
      </c>
      <c r="C9" s="41"/>
      <c r="D9" s="41"/>
      <c r="E9" s="42"/>
      <c r="F9" s="42"/>
      <c r="G9" s="42"/>
    </row>
    <row r="10" spans="1:10" x14ac:dyDescent="0.25">
      <c r="A10" s="51" t="s">
        <v>33</v>
      </c>
      <c r="B10" s="46"/>
      <c r="C10" s="43"/>
      <c r="D10" s="43"/>
      <c r="E10" s="42"/>
      <c r="F10" s="42"/>
      <c r="G10" s="42"/>
    </row>
    <row r="11" spans="1:10" x14ac:dyDescent="0.25">
      <c r="A11" s="41">
        <v>5</v>
      </c>
      <c r="B11" s="47" t="s">
        <v>49</v>
      </c>
      <c r="C11" s="43"/>
      <c r="D11" s="43"/>
      <c r="E11" s="42"/>
      <c r="F11" s="42"/>
      <c r="G11" s="42"/>
    </row>
    <row r="12" spans="1:10" x14ac:dyDescent="0.25">
      <c r="A12" s="51">
        <v>54</v>
      </c>
      <c r="B12" s="48" t="s">
        <v>50</v>
      </c>
      <c r="C12" s="43"/>
      <c r="D12" s="43"/>
      <c r="E12" s="42"/>
      <c r="F12" s="42"/>
      <c r="G12" s="42"/>
    </row>
    <row r="13" spans="1:10" x14ac:dyDescent="0.25">
      <c r="A13" s="51" t="s">
        <v>33</v>
      </c>
      <c r="B13" s="47"/>
      <c r="C13" s="43"/>
      <c r="D13" s="43"/>
      <c r="E13" s="42"/>
      <c r="F13" s="42"/>
      <c r="G13" s="42"/>
    </row>
    <row r="16" spans="1:10" ht="15.75" x14ac:dyDescent="0.25">
      <c r="B16" s="156" t="s">
        <v>51</v>
      </c>
      <c r="C16" s="156"/>
      <c r="D16" s="156"/>
      <c r="E16" s="156"/>
      <c r="F16" s="156"/>
      <c r="G16" s="156"/>
    </row>
    <row r="17" spans="1:7" ht="18.75" x14ac:dyDescent="0.25">
      <c r="B17" s="31"/>
      <c r="C17" s="31"/>
      <c r="D17" s="31"/>
      <c r="E17" s="31"/>
      <c r="F17" s="31"/>
      <c r="G17" s="31"/>
    </row>
    <row r="18" spans="1:7" ht="25.5" x14ac:dyDescent="0.25">
      <c r="A18" s="36" t="s">
        <v>41</v>
      </c>
      <c r="B18" s="37" t="s">
        <v>22</v>
      </c>
      <c r="C18" s="38" t="s">
        <v>13</v>
      </c>
      <c r="D18" s="38" t="s">
        <v>23</v>
      </c>
      <c r="E18" s="36" t="s">
        <v>24</v>
      </c>
      <c r="F18" s="36" t="s">
        <v>25</v>
      </c>
      <c r="G18" s="36" t="s">
        <v>26</v>
      </c>
    </row>
    <row r="19" spans="1:7" ht="10.15" customHeight="1" x14ac:dyDescent="0.25">
      <c r="A19" s="39">
        <v>1</v>
      </c>
      <c r="B19" s="39">
        <v>2</v>
      </c>
      <c r="C19" s="39">
        <v>3</v>
      </c>
      <c r="D19" s="39">
        <v>4</v>
      </c>
      <c r="E19" s="39">
        <v>5</v>
      </c>
      <c r="F19" s="39">
        <v>6</v>
      </c>
      <c r="G19" s="39">
        <v>7</v>
      </c>
    </row>
    <row r="20" spans="1:7" x14ac:dyDescent="0.25">
      <c r="A20" s="41">
        <v>8</v>
      </c>
      <c r="B20" s="41" t="s">
        <v>58</v>
      </c>
      <c r="C20" s="41"/>
      <c r="D20" s="41"/>
      <c r="E20" s="42"/>
      <c r="F20" s="42"/>
      <c r="G20" s="42"/>
    </row>
    <row r="21" spans="1:7" x14ac:dyDescent="0.25">
      <c r="A21" s="51">
        <v>81</v>
      </c>
      <c r="B21" s="43" t="s">
        <v>59</v>
      </c>
      <c r="C21" s="43"/>
      <c r="D21" s="43"/>
      <c r="E21" s="42"/>
      <c r="F21" s="42"/>
      <c r="G21" s="42"/>
    </row>
    <row r="22" spans="1:7" x14ac:dyDescent="0.25">
      <c r="A22" s="66" t="s">
        <v>33</v>
      </c>
      <c r="B22" s="43"/>
      <c r="C22" s="57"/>
      <c r="D22" s="57"/>
      <c r="E22" s="57"/>
      <c r="F22" s="57"/>
      <c r="G22" s="57"/>
    </row>
    <row r="23" spans="1:7" x14ac:dyDescent="0.25">
      <c r="A23" s="57"/>
      <c r="B23" s="50"/>
      <c r="C23" s="57"/>
      <c r="D23" s="57"/>
      <c r="E23" s="57"/>
      <c r="F23" s="57"/>
      <c r="G23" s="57"/>
    </row>
    <row r="24" spans="1:7" x14ac:dyDescent="0.25">
      <c r="A24" s="57"/>
      <c r="B24" s="41" t="s">
        <v>52</v>
      </c>
      <c r="C24" s="57"/>
      <c r="D24" s="57"/>
      <c r="E24" s="57"/>
      <c r="F24" s="57"/>
      <c r="G24" s="57"/>
    </row>
    <row r="25" spans="1:7" x14ac:dyDescent="0.25">
      <c r="A25" s="41">
        <v>1</v>
      </c>
      <c r="B25" s="41" t="s">
        <v>42</v>
      </c>
      <c r="C25" s="41"/>
      <c r="D25" s="41"/>
      <c r="E25" s="42"/>
      <c r="F25" s="42"/>
      <c r="G25" s="42"/>
    </row>
    <row r="26" spans="1:7" x14ac:dyDescent="0.25">
      <c r="A26" s="51">
        <v>11</v>
      </c>
      <c r="B26" s="43" t="s">
        <v>42</v>
      </c>
      <c r="C26" s="43"/>
      <c r="D26" s="43"/>
      <c r="E26" s="42"/>
      <c r="F26" s="42"/>
      <c r="G26" s="42"/>
    </row>
    <row r="27" spans="1:7" x14ac:dyDescent="0.25">
      <c r="A27" s="66" t="s">
        <v>33</v>
      </c>
      <c r="B27" s="49"/>
      <c r="C27" s="57"/>
      <c r="D27" s="57"/>
      <c r="E27" s="57"/>
      <c r="F27" s="57"/>
      <c r="G27" s="57"/>
    </row>
    <row r="28" spans="1:7" x14ac:dyDescent="0.25">
      <c r="A28" s="41">
        <v>3</v>
      </c>
      <c r="B28" s="41" t="s">
        <v>43</v>
      </c>
      <c r="C28" s="41"/>
      <c r="D28" s="41"/>
      <c r="E28" s="42"/>
      <c r="F28" s="42"/>
      <c r="G28" s="42"/>
    </row>
    <row r="29" spans="1:7" x14ac:dyDescent="0.25">
      <c r="A29" s="51">
        <v>31</v>
      </c>
      <c r="B29" s="43" t="s">
        <v>43</v>
      </c>
      <c r="C29" s="43"/>
      <c r="D29" s="43"/>
      <c r="E29" s="42"/>
      <c r="F29" s="42"/>
      <c r="G29" s="42"/>
    </row>
    <row r="30" spans="1:7" x14ac:dyDescent="0.25">
      <c r="A30" s="41">
        <v>4</v>
      </c>
      <c r="B30" s="41" t="s">
        <v>57</v>
      </c>
      <c r="C30" s="41"/>
      <c r="D30" s="41"/>
      <c r="E30" s="42"/>
      <c r="F30" s="42"/>
      <c r="G30" s="42"/>
    </row>
    <row r="31" spans="1:7" x14ac:dyDescent="0.25">
      <c r="A31" s="51">
        <v>43</v>
      </c>
      <c r="B31" s="43" t="s">
        <v>55</v>
      </c>
      <c r="C31" s="43"/>
      <c r="D31" s="43"/>
      <c r="E31" s="42"/>
      <c r="F31" s="42"/>
      <c r="G31" s="42"/>
    </row>
    <row r="32" spans="1:7" x14ac:dyDescent="0.25">
      <c r="A32" s="51" t="s">
        <v>33</v>
      </c>
      <c r="B32" s="43"/>
      <c r="C32" s="43"/>
      <c r="D32" s="43"/>
      <c r="E32" s="42"/>
      <c r="F32" s="42"/>
      <c r="G32" s="42"/>
    </row>
  </sheetData>
  <mergeCells count="3">
    <mergeCell ref="B16:G16"/>
    <mergeCell ref="A2:G2"/>
    <mergeCell ref="A4:G4"/>
  </mergeCells>
  <pageMargins left="0.7" right="0.7" top="0.75" bottom="0.75" header="0.3" footer="0.3"/>
  <pageSetup paperSize="9" scale="8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 Sažetak</vt:lpstr>
      <vt:lpstr> Račun prihoda i rashoda</vt:lpstr>
      <vt:lpstr>Posebni dio</vt:lpstr>
      <vt:lpstr> Račun financiranja</vt:lpstr>
      <vt:lpstr>' Račun financiranja'!Print_Area</vt:lpstr>
      <vt:lpstr>' Račun prihoda i rashoda'!Print_Area</vt:lpstr>
      <vt:lpstr>' Sažetak'!Print_Area</vt:lpstr>
      <vt:lpstr>'Posebni dio'!Print_Area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2026-03-26T14:50:38Z</dcterms:modified>
</cp:coreProperties>
</file>